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/Users/anuhellenurme/Downloads/KOOSOLEKU materjalid ETSAÜ NÕUKOGU /ETSAÜ STRATEEGIA /"/>
    </mc:Choice>
  </mc:AlternateContent>
  <xr:revisionPtr revIDLastSave="0" documentId="8_{0A004EFE-CA48-8B48-914D-1C0559DDBB79}" xr6:coauthVersionLast="47" xr6:coauthVersionMax="47" xr10:uidLastSave="{00000000-0000-0000-0000-000000000000}"/>
  <bookViews>
    <workbookView xWindow="0" yWindow="760" windowWidth="22140" windowHeight="11820" activeTab="6" xr2:uid="{00000000-000D-0000-FFFF-FFFF00000000}"/>
  </bookViews>
  <sheets>
    <sheet name="INFO" sheetId="1" r:id="rId1"/>
    <sheet name="HOIDLAD" sheetId="2" r:id="rId2"/>
    <sheet name="KTBL" sheetId="3" r:id="rId3"/>
    <sheet name="Loomakohad" sheetId="4" r:id="rId4"/>
    <sheet name="Emisetoodang" sheetId="7" r:id="rId5"/>
    <sheet name="INVEST" sheetId="5" r:id="rId6"/>
    <sheet name="VAJADUS" sheetId="6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4" i="6" l="1"/>
  <c r="E43" i="6"/>
  <c r="E31" i="6"/>
  <c r="E17" i="6"/>
  <c r="F22" i="5"/>
  <c r="E78" i="6"/>
  <c r="E77" i="6"/>
  <c r="E91" i="6" s="1"/>
  <c r="C24" i="4"/>
  <c r="B24" i="4"/>
  <c r="D24" i="4"/>
  <c r="E24" i="4"/>
  <c r="E23" i="4"/>
  <c r="D23" i="4"/>
  <c r="C23" i="4"/>
  <c r="F48" i="5"/>
  <c r="F16" i="1"/>
  <c r="B19" i="4"/>
  <c r="I16" i="4"/>
  <c r="I17" i="4" s="1"/>
  <c r="D32" i="7"/>
  <c r="D33" i="7" s="1"/>
  <c r="D34" i="7" s="1"/>
  <c r="D31" i="7"/>
  <c r="D26" i="7"/>
  <c r="D27" i="7" s="1"/>
  <c r="D28" i="7" s="1"/>
  <c r="D29" i="7" s="1"/>
  <c r="D30" i="7" s="1"/>
  <c r="D25" i="7"/>
  <c r="G24" i="7"/>
  <c r="H24" i="7" s="1"/>
  <c r="I24" i="7" s="1"/>
  <c r="G23" i="7"/>
  <c r="H23" i="7" s="1"/>
  <c r="I23" i="7" s="1"/>
  <c r="G22" i="7"/>
  <c r="H22" i="7" s="1"/>
  <c r="I22" i="7" s="1"/>
  <c r="G21" i="7"/>
  <c r="H21" i="7" s="1"/>
  <c r="I21" i="7" s="1"/>
  <c r="G20" i="7"/>
  <c r="H20" i="7" s="1"/>
  <c r="I20" i="7" s="1"/>
  <c r="G19" i="7"/>
  <c r="H19" i="7" s="1"/>
  <c r="I19" i="7" s="1"/>
  <c r="G18" i="7"/>
  <c r="H18" i="7" s="1"/>
  <c r="I18" i="7" s="1"/>
  <c r="G17" i="7"/>
  <c r="H17" i="7" s="1"/>
  <c r="I17" i="7" s="1"/>
  <c r="I16" i="7"/>
  <c r="H16" i="7"/>
  <c r="G16" i="7"/>
  <c r="H15" i="7"/>
  <c r="I15" i="7" s="1"/>
  <c r="G15" i="7"/>
  <c r="H14" i="7"/>
  <c r="I14" i="7" s="1"/>
  <c r="G14" i="7"/>
  <c r="G13" i="7"/>
  <c r="H13" i="7" s="1"/>
  <c r="I13" i="7" s="1"/>
  <c r="G12" i="7"/>
  <c r="H12" i="7" s="1"/>
  <c r="I12" i="7" s="1"/>
  <c r="G11" i="7"/>
  <c r="H11" i="7" s="1"/>
  <c r="I11" i="7" s="1"/>
  <c r="G10" i="7"/>
  <c r="H10" i="7" s="1"/>
  <c r="I10" i="7" s="1"/>
  <c r="G9" i="7"/>
  <c r="H9" i="7" s="1"/>
  <c r="I9" i="7" s="1"/>
  <c r="G8" i="7"/>
  <c r="H8" i="7" s="1"/>
  <c r="I8" i="7" s="1"/>
  <c r="G7" i="7"/>
  <c r="H7" i="7" s="1"/>
  <c r="I7" i="7" s="1"/>
  <c r="G6" i="7"/>
  <c r="H6" i="7" s="1"/>
  <c r="I6" i="7" s="1"/>
  <c r="G5" i="7"/>
  <c r="H5" i="7" s="1"/>
  <c r="I5" i="7" s="1"/>
  <c r="G4" i="7"/>
  <c r="H4" i="7" s="1"/>
  <c r="I4" i="7" s="1"/>
  <c r="G3" i="7"/>
  <c r="H3" i="7" s="1"/>
  <c r="I3" i="7" s="1"/>
  <c r="G2" i="7"/>
  <c r="H2" i="7" s="1"/>
  <c r="I2" i="7" s="1"/>
  <c r="G26" i="7" l="1"/>
  <c r="J26" i="7" s="1"/>
  <c r="K26" i="7" s="1"/>
  <c r="G25" i="7"/>
  <c r="J25" i="7" s="1"/>
  <c r="K25" i="7" s="1"/>
  <c r="G27" i="7" l="1"/>
  <c r="J27" i="7" s="1"/>
  <c r="K27" i="7" s="1"/>
  <c r="G28" i="7" l="1"/>
  <c r="J28" i="7" s="1"/>
  <c r="K28" i="7" s="1"/>
  <c r="G29" i="7" l="1"/>
  <c r="J29" i="7" s="1"/>
  <c r="K29" i="7" s="1"/>
  <c r="G30" i="7" l="1"/>
  <c r="J30" i="7" s="1"/>
  <c r="K30" i="7" s="1"/>
  <c r="C40" i="4"/>
  <c r="C5" i="4"/>
  <c r="B8" i="4" s="1"/>
  <c r="B22" i="4" s="1"/>
  <c r="K13" i="5"/>
  <c r="E22" i="4" l="1"/>
  <c r="D22" i="4"/>
  <c r="C22" i="4"/>
  <c r="I19" i="4"/>
  <c r="J19" i="4" s="1"/>
  <c r="I21" i="4" s="1"/>
  <c r="G31" i="7"/>
  <c r="J31" i="7" s="1"/>
  <c r="K31" i="7" s="1"/>
  <c r="O46" i="6"/>
  <c r="O92" i="6"/>
  <c r="B86" i="6"/>
  <c r="B85" i="6"/>
  <c r="B84" i="6"/>
  <c r="J77" i="6"/>
  <c r="J89" i="6" s="1"/>
  <c r="I86" i="6"/>
  <c r="I85" i="6"/>
  <c r="I84" i="6"/>
  <c r="B81" i="6"/>
  <c r="I73" i="6"/>
  <c r="I72" i="6"/>
  <c r="I71" i="6"/>
  <c r="I65" i="6"/>
  <c r="I64" i="6"/>
  <c r="I63" i="6"/>
  <c r="I57" i="6"/>
  <c r="I56" i="6"/>
  <c r="I55" i="6"/>
  <c r="I40" i="6"/>
  <c r="I39" i="6"/>
  <c r="I38" i="6"/>
  <c r="B40" i="6"/>
  <c r="B39" i="6"/>
  <c r="B38" i="6"/>
  <c r="B42" i="6" s="1"/>
  <c r="G26" i="2"/>
  <c r="G24" i="2"/>
  <c r="G23" i="2"/>
  <c r="G22" i="2"/>
  <c r="J31" i="6"/>
  <c r="J43" i="6" s="1"/>
  <c r="I27" i="6"/>
  <c r="I26" i="6"/>
  <c r="I25" i="6"/>
  <c r="I19" i="6"/>
  <c r="I18" i="6"/>
  <c r="I17" i="6"/>
  <c r="I11" i="6"/>
  <c r="I10" i="6"/>
  <c r="I9" i="6"/>
  <c r="B27" i="6"/>
  <c r="B11" i="6"/>
  <c r="B10" i="6"/>
  <c r="B9" i="6"/>
  <c r="B42" i="5"/>
  <c r="B41" i="5"/>
  <c r="B40" i="5"/>
  <c r="B18" i="5"/>
  <c r="B17" i="5"/>
  <c r="B16" i="5"/>
  <c r="E26" i="2"/>
  <c r="W43" i="3"/>
  <c r="B57" i="6" s="1"/>
  <c r="W42" i="3"/>
  <c r="B56" i="6" s="1"/>
  <c r="W41" i="3"/>
  <c r="B55" i="6" s="1"/>
  <c r="F43" i="3"/>
  <c r="F42" i="3"/>
  <c r="F41" i="3"/>
  <c r="F88" i="3"/>
  <c r="B19" i="6" s="1"/>
  <c r="F87" i="3"/>
  <c r="B18" i="6" s="1"/>
  <c r="F86" i="3"/>
  <c r="B17" i="6" s="1"/>
  <c r="F131" i="3"/>
  <c r="B73" i="6" s="1"/>
  <c r="F130" i="3"/>
  <c r="B26" i="6" s="1"/>
  <c r="F129" i="3"/>
  <c r="B71" i="6" s="1"/>
  <c r="K82" i="3"/>
  <c r="H31" i="2"/>
  <c r="H32" i="2"/>
  <c r="G32" i="7" l="1"/>
  <c r="J32" i="7" s="1"/>
  <c r="K32" i="7" s="1"/>
  <c r="B72" i="6"/>
  <c r="B25" i="6"/>
  <c r="B28" i="6" s="1"/>
  <c r="B63" i="6"/>
  <c r="B64" i="6"/>
  <c r="B65" i="6"/>
  <c r="B66" i="6"/>
  <c r="B58" i="6"/>
  <c r="B88" i="6"/>
  <c r="B12" i="6"/>
  <c r="B20" i="6"/>
  <c r="F132" i="3"/>
  <c r="D28" i="4"/>
  <c r="D33" i="4" s="1"/>
  <c r="J6" i="4"/>
  <c r="W37" i="3"/>
  <c r="F37" i="3"/>
  <c r="F44" i="3"/>
  <c r="K121" i="3"/>
  <c r="I121" i="3"/>
  <c r="G121" i="3"/>
  <c r="E121" i="3"/>
  <c r="C121" i="3"/>
  <c r="K120" i="3"/>
  <c r="I120" i="3"/>
  <c r="G120" i="3"/>
  <c r="E120" i="3"/>
  <c r="C120" i="3"/>
  <c r="K119" i="3"/>
  <c r="I119" i="3"/>
  <c r="G119" i="3"/>
  <c r="E119" i="3"/>
  <c r="C119" i="3"/>
  <c r="K116" i="3"/>
  <c r="I116" i="3"/>
  <c r="G116" i="3"/>
  <c r="E116" i="3"/>
  <c r="C116" i="3"/>
  <c r="N114" i="3"/>
  <c r="N113" i="3"/>
  <c r="N112" i="3"/>
  <c r="N111" i="3"/>
  <c r="N110" i="3"/>
  <c r="N108" i="3"/>
  <c r="N107" i="3"/>
  <c r="N106" i="3"/>
  <c r="N105" i="3"/>
  <c r="N103" i="3"/>
  <c r="N102" i="3"/>
  <c r="N101" i="3"/>
  <c r="N100" i="3"/>
  <c r="N72" i="3"/>
  <c r="N71" i="3"/>
  <c r="N70" i="3"/>
  <c r="N69" i="3"/>
  <c r="N68" i="3"/>
  <c r="N66" i="3"/>
  <c r="N65" i="3"/>
  <c r="N64" i="3"/>
  <c r="N63" i="3"/>
  <c r="N61" i="3"/>
  <c r="N60" i="3"/>
  <c r="N59" i="3"/>
  <c r="N58" i="3"/>
  <c r="K79" i="3"/>
  <c r="K78" i="3"/>
  <c r="K77" i="3"/>
  <c r="K74" i="3"/>
  <c r="I79" i="3"/>
  <c r="I78" i="3"/>
  <c r="I77" i="3"/>
  <c r="I74" i="3"/>
  <c r="G74" i="3"/>
  <c r="E74" i="3"/>
  <c r="C74" i="3"/>
  <c r="G79" i="3"/>
  <c r="E79" i="3"/>
  <c r="C79" i="3"/>
  <c r="G78" i="3"/>
  <c r="E78" i="3"/>
  <c r="C78" i="3"/>
  <c r="G77" i="3"/>
  <c r="E77" i="3"/>
  <c r="C77" i="3"/>
  <c r="Z26" i="3"/>
  <c r="Z25" i="3"/>
  <c r="Z24" i="3"/>
  <c r="Z23" i="3"/>
  <c r="Z22" i="3"/>
  <c r="Z20" i="3"/>
  <c r="Z19" i="3"/>
  <c r="Z18" i="3"/>
  <c r="Z17" i="3"/>
  <c r="Z15" i="3"/>
  <c r="Z14" i="3"/>
  <c r="Z13" i="3"/>
  <c r="Z12" i="3"/>
  <c r="Z4" i="3"/>
  <c r="X33" i="3"/>
  <c r="V33" i="3"/>
  <c r="T33" i="3"/>
  <c r="X32" i="3"/>
  <c r="V32" i="3"/>
  <c r="T32" i="3"/>
  <c r="X31" i="3"/>
  <c r="V31" i="3"/>
  <c r="T31" i="3"/>
  <c r="X28" i="3"/>
  <c r="V28" i="3"/>
  <c r="T28" i="3"/>
  <c r="M33" i="3"/>
  <c r="M32" i="3"/>
  <c r="M31" i="3"/>
  <c r="K33" i="3"/>
  <c r="K32" i="3"/>
  <c r="K31" i="3"/>
  <c r="I33" i="3"/>
  <c r="I32" i="3"/>
  <c r="I31" i="3"/>
  <c r="G33" i="3"/>
  <c r="G32" i="3"/>
  <c r="G31" i="3"/>
  <c r="E33" i="3"/>
  <c r="E32" i="3"/>
  <c r="E31" i="3"/>
  <c r="C33" i="3"/>
  <c r="C32" i="3"/>
  <c r="C31" i="3"/>
  <c r="O4" i="3"/>
  <c r="O26" i="3"/>
  <c r="O25" i="3"/>
  <c r="O24" i="3"/>
  <c r="O23" i="3"/>
  <c r="O22" i="3"/>
  <c r="O20" i="3"/>
  <c r="O19" i="3"/>
  <c r="O18" i="3"/>
  <c r="O17" i="3"/>
  <c r="O15" i="3"/>
  <c r="O14" i="3"/>
  <c r="O13" i="3"/>
  <c r="O12" i="3"/>
  <c r="M28" i="3"/>
  <c r="K28" i="3"/>
  <c r="I28" i="3"/>
  <c r="G28" i="3"/>
  <c r="E28" i="3"/>
  <c r="C28" i="3"/>
  <c r="B24" i="1"/>
  <c r="G33" i="7" l="1"/>
  <c r="J33" i="7" s="1"/>
  <c r="K33" i="7" s="1"/>
  <c r="B6" i="6"/>
  <c r="D34" i="4"/>
  <c r="D9" i="5"/>
  <c r="D33" i="5"/>
  <c r="B74" i="6"/>
  <c r="D7" i="5"/>
  <c r="L82" i="3"/>
  <c r="W44" i="3"/>
  <c r="D31" i="5" s="1"/>
  <c r="I34" i="3"/>
  <c r="E34" i="3"/>
  <c r="C80" i="3"/>
  <c r="V34" i="3"/>
  <c r="Z31" i="3"/>
  <c r="Z32" i="3"/>
  <c r="Z33" i="3"/>
  <c r="K80" i="3"/>
  <c r="K122" i="3"/>
  <c r="I122" i="3"/>
  <c r="G122" i="3"/>
  <c r="E122" i="3"/>
  <c r="N120" i="3"/>
  <c r="N119" i="3"/>
  <c r="N121" i="3"/>
  <c r="C122" i="3"/>
  <c r="I80" i="3"/>
  <c r="C34" i="3"/>
  <c r="X34" i="3"/>
  <c r="G80" i="3"/>
  <c r="G34" i="3"/>
  <c r="E80" i="3"/>
  <c r="N79" i="3"/>
  <c r="N77" i="3"/>
  <c r="N78" i="3"/>
  <c r="T34" i="3"/>
  <c r="O32" i="3"/>
  <c r="O33" i="3"/>
  <c r="O31" i="3"/>
  <c r="K34" i="3"/>
  <c r="M34" i="3"/>
  <c r="N14" i="2"/>
  <c r="N11" i="2"/>
  <c r="N12" i="2" s="1"/>
  <c r="E22" i="2"/>
  <c r="E25" i="2" s="1"/>
  <c r="H14" i="2"/>
  <c r="G14" i="2"/>
  <c r="E14" i="2"/>
  <c r="D14" i="2"/>
  <c r="B14" i="2"/>
  <c r="D8" i="1"/>
  <c r="G34" i="7" l="1"/>
  <c r="J34" i="7" s="1"/>
  <c r="K34" i="7" s="1"/>
  <c r="B23" i="4" s="1"/>
  <c r="B52" i="6"/>
  <c r="C57" i="6"/>
  <c r="C10" i="6"/>
  <c r="C56" i="6"/>
  <c r="C55" i="6"/>
  <c r="C11" i="6"/>
  <c r="C9" i="6"/>
  <c r="M34" i="4"/>
  <c r="B8" i="5"/>
  <c r="C17" i="5" s="1"/>
  <c r="F17" i="5" s="1"/>
  <c r="B14" i="6"/>
  <c r="B32" i="5"/>
  <c r="C41" i="5" s="1"/>
  <c r="F41" i="5" s="1"/>
  <c r="I34" i="4"/>
  <c r="J34" i="4" s="1"/>
  <c r="B31" i="5"/>
  <c r="C40" i="5" s="1"/>
  <c r="B7" i="5"/>
  <c r="C16" i="5" s="1"/>
  <c r="F16" i="5" s="1"/>
  <c r="D29" i="4"/>
  <c r="D36" i="4" s="1"/>
  <c r="N16" i="2"/>
  <c r="P16" i="2" s="1"/>
  <c r="F89" i="3"/>
  <c r="Z34" i="3"/>
  <c r="N122" i="3"/>
  <c r="F125" i="3" s="1"/>
  <c r="O34" i="3"/>
  <c r="N80" i="3"/>
  <c r="F82" i="3" s="1"/>
  <c r="F31" i="5" l="1"/>
  <c r="F7" i="5"/>
  <c r="I29" i="4"/>
  <c r="J29" i="4" s="1"/>
  <c r="M29" i="4"/>
  <c r="B33" i="5"/>
  <c r="B22" i="6"/>
  <c r="B9" i="5"/>
  <c r="E56" i="6"/>
  <c r="J56" i="6"/>
  <c r="J10" i="6"/>
  <c r="E10" i="6"/>
  <c r="B60" i="6"/>
  <c r="C17" i="6"/>
  <c r="C63" i="6"/>
  <c r="C18" i="6"/>
  <c r="C19" i="6"/>
  <c r="C65" i="6"/>
  <c r="C64" i="6"/>
  <c r="E9" i="6"/>
  <c r="J9" i="6"/>
  <c r="C12" i="6"/>
  <c r="E11" i="6"/>
  <c r="J11" i="6"/>
  <c r="J55" i="6"/>
  <c r="C58" i="6"/>
  <c r="E55" i="6"/>
  <c r="F40" i="5"/>
  <c r="E57" i="6"/>
  <c r="J57" i="6"/>
  <c r="D8" i="5"/>
  <c r="F8" i="5" s="1"/>
  <c r="D32" i="5"/>
  <c r="F32" i="5" s="1"/>
  <c r="E58" i="6" l="1"/>
  <c r="C66" i="6"/>
  <c r="M66" i="6" s="1"/>
  <c r="N66" i="6" s="1"/>
  <c r="E63" i="6"/>
  <c r="J63" i="6"/>
  <c r="J17" i="6"/>
  <c r="C20" i="6"/>
  <c r="M20" i="6" s="1"/>
  <c r="N20" i="6" s="1"/>
  <c r="E12" i="6"/>
  <c r="C18" i="5"/>
  <c r="F18" i="5" s="1"/>
  <c r="F20" i="5" s="1"/>
  <c r="F9" i="5"/>
  <c r="F11" i="5" s="1"/>
  <c r="E64" i="6"/>
  <c r="J64" i="6"/>
  <c r="B68" i="6"/>
  <c r="C26" i="6"/>
  <c r="C27" i="6"/>
  <c r="C73" i="6"/>
  <c r="C71" i="6"/>
  <c r="C25" i="6"/>
  <c r="C72" i="6"/>
  <c r="E65" i="6"/>
  <c r="J65" i="6"/>
  <c r="C42" i="5"/>
  <c r="F33" i="5"/>
  <c r="F35" i="5" s="1"/>
  <c r="E19" i="6"/>
  <c r="J19" i="6"/>
  <c r="E18" i="6"/>
  <c r="J18" i="6"/>
  <c r="E20" i="6" l="1"/>
  <c r="F42" i="5"/>
  <c r="F44" i="5" s="1"/>
  <c r="F46" i="5" s="1"/>
  <c r="C43" i="5"/>
  <c r="B35" i="6" s="1"/>
  <c r="E72" i="6"/>
  <c r="J72" i="6"/>
  <c r="J25" i="6"/>
  <c r="C28" i="6"/>
  <c r="C30" i="6"/>
  <c r="E25" i="6"/>
  <c r="J71" i="6"/>
  <c r="C76" i="6"/>
  <c r="E71" i="6"/>
  <c r="C74" i="6"/>
  <c r="E73" i="6"/>
  <c r="J73" i="6"/>
  <c r="E27" i="6"/>
  <c r="J27" i="6"/>
  <c r="E26" i="6"/>
  <c r="J26" i="6"/>
  <c r="E66" i="6"/>
  <c r="J76" i="6" l="1"/>
  <c r="J78" i="6" s="1"/>
  <c r="E74" i="6"/>
  <c r="E28" i="6"/>
  <c r="E32" i="6"/>
  <c r="J30" i="6"/>
  <c r="J32" i="6" s="1"/>
  <c r="C86" i="6"/>
  <c r="C84" i="6"/>
  <c r="C85" i="6"/>
  <c r="C40" i="6"/>
  <c r="C39" i="6"/>
  <c r="C38" i="6"/>
  <c r="E39" i="6" l="1"/>
  <c r="J39" i="6"/>
  <c r="E86" i="6"/>
  <c r="J86" i="6"/>
  <c r="J38" i="6"/>
  <c r="E38" i="6"/>
  <c r="C42" i="6"/>
  <c r="J84" i="6"/>
  <c r="E84" i="6"/>
  <c r="C88" i="6"/>
  <c r="E40" i="6"/>
  <c r="J40" i="6"/>
  <c r="E85" i="6"/>
  <c r="J85" i="6"/>
  <c r="J88" i="6" l="1"/>
  <c r="J90" i="6" s="1"/>
  <c r="E88" i="6"/>
  <c r="E89" i="6" s="1"/>
  <c r="E42" i="6"/>
  <c r="J42" i="6"/>
  <c r="J44" i="6" s="1"/>
  <c r="Q92" i="6" l="1"/>
  <c r="Q93" i="6" s="1"/>
  <c r="R93" i="6" s="1"/>
  <c r="E45" i="6"/>
  <c r="Q91" i="6" l="1"/>
  <c r="Q45" i="6"/>
  <c r="Q46" i="6"/>
  <c r="Q47" i="6" s="1"/>
  <c r="R47" i="6" s="1"/>
</calcChain>
</file>

<file path=xl/sharedStrings.xml><?xml version="1.0" encoding="utf-8"?>
<sst xmlns="http://schemas.openxmlformats.org/spreadsheetml/2006/main" count="510" uniqueCount="193">
  <si>
    <t>Amortisatsioon</t>
  </si>
  <si>
    <t xml:space="preserve">Hooldus ja remont % </t>
  </si>
  <si>
    <t>Pikaajaline invest</t>
  </si>
  <si>
    <t>aastat</t>
  </si>
  <si>
    <t>Keskmise ajaga invest</t>
  </si>
  <si>
    <t xml:space="preserve">Lühiajaline invest </t>
  </si>
  <si>
    <t>Kindlustus</t>
  </si>
  <si>
    <t>Finantseering</t>
  </si>
  <si>
    <t>Intress</t>
  </si>
  <si>
    <t>Kood</t>
  </si>
  <si>
    <t>FL 008</t>
  </si>
  <si>
    <t>FL 009</t>
  </si>
  <si>
    <t>FL 019</t>
  </si>
  <si>
    <t>FL 088</t>
  </si>
  <si>
    <t>FL 098</t>
  </si>
  <si>
    <t>Läbimõõt</t>
  </si>
  <si>
    <t>Kõrgus</t>
  </si>
  <si>
    <t>Maht</t>
  </si>
  <si>
    <t>Liik</t>
  </si>
  <si>
    <t>Element</t>
  </si>
  <si>
    <t>Valu</t>
  </si>
  <si>
    <t>Katus</t>
  </si>
  <si>
    <t>Ei</t>
  </si>
  <si>
    <t>Jah</t>
  </si>
  <si>
    <t>Tugipost</t>
  </si>
  <si>
    <t>Betoon</t>
  </si>
  <si>
    <t>Kogumaksumus EUR</t>
  </si>
  <si>
    <t>Maksumus m3 kohta</t>
  </si>
  <si>
    <t>Mullatööd</t>
  </si>
  <si>
    <t>Aluse ehitus</t>
  </si>
  <si>
    <t>Ehituskonstruktsioonid</t>
  </si>
  <si>
    <t>Tehnilised seadmed</t>
  </si>
  <si>
    <t>EUR/ m3</t>
  </si>
  <si>
    <t>EUR/m3</t>
  </si>
  <si>
    <t>Eestis</t>
  </si>
  <si>
    <t>Pikaajalised</t>
  </si>
  <si>
    <t>Telkkatus</t>
  </si>
  <si>
    <t>Keskpikad</t>
  </si>
  <si>
    <t>Seadmed</t>
  </si>
  <si>
    <t>Lühiajalised</t>
  </si>
  <si>
    <t>Kokku</t>
  </si>
  <si>
    <t>Hoidlat vaja</t>
  </si>
  <si>
    <t>Hoidla maht 8 kuud</t>
  </si>
  <si>
    <t>m3/Emise koht</t>
  </si>
  <si>
    <t>m3/VP koht</t>
  </si>
  <si>
    <t>m3/nuumiku koht</t>
  </si>
  <si>
    <t>Tavapidamine Emised</t>
  </si>
  <si>
    <t>Emised, suurendatud pinnad.   Seemendus 5,5 m2 , poegimine 6,5 m2</t>
  </si>
  <si>
    <t>Projekt</t>
  </si>
  <si>
    <t>S 13002</t>
  </si>
  <si>
    <t>S 13003</t>
  </si>
  <si>
    <t>S 14002</t>
  </si>
  <si>
    <t>S 14003</t>
  </si>
  <si>
    <t>S 14004</t>
  </si>
  <si>
    <t>S 14005</t>
  </si>
  <si>
    <t>S 015 056</t>
  </si>
  <si>
    <t>S 016 057</t>
  </si>
  <si>
    <t>S 016 058</t>
  </si>
  <si>
    <t xml:space="preserve">Loomakohti ( Lk ) </t>
  </si>
  <si>
    <t>Emiste arv (Ea)</t>
  </si>
  <si>
    <t>Emisekohad</t>
  </si>
  <si>
    <t>Reservkohad</t>
  </si>
  <si>
    <t>Nooremise kohad</t>
  </si>
  <si>
    <t>Kuldikohad</t>
  </si>
  <si>
    <t>€/Ea</t>
  </si>
  <si>
    <t>Loom</t>
  </si>
  <si>
    <t>Pikaajalised investeeringud</t>
  </si>
  <si>
    <t>Keskpikad investeeringud</t>
  </si>
  <si>
    <t>Lühiajalised investeeringud</t>
  </si>
  <si>
    <t>Summa loom</t>
  </si>
  <si>
    <t>Söötmine</t>
  </si>
  <si>
    <t>Summa söötmine</t>
  </si>
  <si>
    <t>Haldus</t>
  </si>
  <si>
    <t>Summa haldus</t>
  </si>
  <si>
    <t>Kokku EUR Farm</t>
  </si>
  <si>
    <t>Kokku €/Emise kohta</t>
  </si>
  <si>
    <t>KTBL keskmine</t>
  </si>
  <si>
    <t>€/põhiemis</t>
  </si>
  <si>
    <t>Eeldus, et Eestis on maksumus</t>
  </si>
  <si>
    <t>KTBL hinnast</t>
  </si>
  <si>
    <t>Pikaajalised investeeringud 30 a</t>
  </si>
  <si>
    <t>Keskpikad investeeringud 15 a</t>
  </si>
  <si>
    <t>Lühiajalised investeeringud 10 a</t>
  </si>
  <si>
    <t xml:space="preserve">Kokku </t>
  </si>
  <si>
    <t>Võõrdepõrsad</t>
  </si>
  <si>
    <t>FA 106</t>
  </si>
  <si>
    <t>FA 111</t>
  </si>
  <si>
    <t>FA 109</t>
  </si>
  <si>
    <t>FA 110</t>
  </si>
  <si>
    <t>FA 107</t>
  </si>
  <si>
    <t>Netopind m2/loom</t>
  </si>
  <si>
    <t>Grupi suurus</t>
  </si>
  <si>
    <t>Kokku €/VP koha kohta</t>
  </si>
  <si>
    <t>€/VP koht</t>
  </si>
  <si>
    <t>€/Põhiemis koos VP kohtadega</t>
  </si>
  <si>
    <t>Nuum</t>
  </si>
  <si>
    <t>MS005</t>
  </si>
  <si>
    <t>MS006</t>
  </si>
  <si>
    <t>MS008</t>
  </si>
  <si>
    <t>MS048</t>
  </si>
  <si>
    <t>MS049</t>
  </si>
  <si>
    <t>Kokku €/Nuuma koha kohta</t>
  </si>
  <si>
    <t>Eestis 2025 eelarved uue koha ehitamiseks</t>
  </si>
  <si>
    <t>€/nuumakoht</t>
  </si>
  <si>
    <t>Võrreldes KTBL keskmisega</t>
  </si>
  <si>
    <t xml:space="preserve">Arvutustes aluseks võetud </t>
  </si>
  <si>
    <t>Elanikke</t>
  </si>
  <si>
    <t>kg/aastas</t>
  </si>
  <si>
    <t>Kokku kg/aastas</t>
  </si>
  <si>
    <t>Lõpp kg</t>
  </si>
  <si>
    <t>Tapasaagis</t>
  </si>
  <si>
    <t>Rümp kg</t>
  </si>
  <si>
    <t>Rümba kaal</t>
  </si>
  <si>
    <t>kg</t>
  </si>
  <si>
    <t>Toota nuumikuid</t>
  </si>
  <si>
    <t>Tk</t>
  </si>
  <si>
    <t>Tootmisnäitajad</t>
  </si>
  <si>
    <t>2024 aasta seis</t>
  </si>
  <si>
    <t>Müüdud nuumikuid</t>
  </si>
  <si>
    <t>Emise kohta aastas</t>
  </si>
  <si>
    <t>Võõrutatud põrsaid</t>
  </si>
  <si>
    <t>emise kohta aastas</t>
  </si>
  <si>
    <t>2034 aasta eesmärk</t>
  </si>
  <si>
    <t xml:space="preserve">Isevarustatuse tas e 100 % </t>
  </si>
  <si>
    <t>Vaja emiseid</t>
  </si>
  <si>
    <t>Nooremised</t>
  </si>
  <si>
    <t>Isevarustatuse tase</t>
  </si>
  <si>
    <t>Kokku võõrutatud emisel</t>
  </si>
  <si>
    <t>Võimalik toota liha</t>
  </si>
  <si>
    <t>Teravilja lisavajadus aastas nuumikutele, t</t>
  </si>
  <si>
    <t>Nuumakohtade arvutus</t>
  </si>
  <si>
    <t>Hukkumine nuumas</t>
  </si>
  <si>
    <t>Läheb nuuma</t>
  </si>
  <si>
    <t>tk/aastas</t>
  </si>
  <si>
    <t xml:space="preserve">Vaja nuuma kohti ( 3,2 tsüklit aastas/ koht) </t>
  </si>
  <si>
    <t>Võõrdepõrsa kohtade arvutus</t>
  </si>
  <si>
    <t>Hukkumine VP</t>
  </si>
  <si>
    <t>Võõrutatud</t>
  </si>
  <si>
    <t xml:space="preserve">Vaja VP kohti ( 6,4 tsüklit aastas/ koht) </t>
  </si>
  <si>
    <t>Kogu kari</t>
  </si>
  <si>
    <t>Looma</t>
  </si>
  <si>
    <t>%</t>
  </si>
  <si>
    <t>Aasta</t>
  </si>
  <si>
    <t>Psk/emis</t>
  </si>
  <si>
    <t>Võõrutatud p</t>
  </si>
  <si>
    <t>Suremus %</t>
  </si>
  <si>
    <t>Rümbamass, kg</t>
  </si>
  <si>
    <t>Nuumikuid psk</t>
  </si>
  <si>
    <t>Nuumikuid aastas emiselt</t>
  </si>
  <si>
    <t>Toodang, kg</t>
  </si>
  <si>
    <t>Nuumikuid aastas emiselt, prognoos</t>
  </si>
  <si>
    <t>Toodangu prognoos, kg</t>
  </si>
  <si>
    <t xml:space="preserve">Seakasvatuse tootmishoonete maksumus kui tavapidamisel. Tänased heaolu nõuded. </t>
  </si>
  <si>
    <t>Loomakasvatushooned</t>
  </si>
  <si>
    <t>Loomagrupi nimetus</t>
  </si>
  <si>
    <t>€/koht</t>
  </si>
  <si>
    <t>Kokku €</t>
  </si>
  <si>
    <t>Emiseid</t>
  </si>
  <si>
    <t>Nuumikud</t>
  </si>
  <si>
    <t>Kokku loomakasvatushoonete maksumus  EUR</t>
  </si>
  <si>
    <t>Sõnnikuhoidlad</t>
  </si>
  <si>
    <t>m3/koht</t>
  </si>
  <si>
    <t>m3</t>
  </si>
  <si>
    <t>€/m3</t>
  </si>
  <si>
    <t>Emised</t>
  </si>
  <si>
    <t>Kokku sõnnikuhoidlate maksumus  EUR</t>
  </si>
  <si>
    <t>Maksumus kokku  EUR</t>
  </si>
  <si>
    <t xml:space="preserve">Seakasvatuse tootmishoonete maksumus kui emised puurivabal pidamisel. </t>
  </si>
  <si>
    <t xml:space="preserve">Poegimine 6,5 m2, seemendus 5,5 m2 </t>
  </si>
  <si>
    <t>Kui emiste puurivabal pidamisel, siis maksumus kokku on suurem EUR</t>
  </si>
  <si>
    <t>Seakasvatuse investeeringuvajadus tootmishoonetesse kui tavapidamisel.</t>
  </si>
  <si>
    <t xml:space="preserve">Tänased heaolu nõuded. </t>
  </si>
  <si>
    <t>Emiste arv</t>
  </si>
  <si>
    <t>Investeeringu liik</t>
  </si>
  <si>
    <t>Säilinud</t>
  </si>
  <si>
    <t>Vajadus €</t>
  </si>
  <si>
    <t>Aastat</t>
  </si>
  <si>
    <t>EUR/aastas</t>
  </si>
  <si>
    <t>Võõrdepõrsaste arv</t>
  </si>
  <si>
    <t>Emis koos VP-ga/koht</t>
  </si>
  <si>
    <t>Nuumikute arv</t>
  </si>
  <si>
    <t>Maksumus kokku</t>
  </si>
  <si>
    <t>EUR</t>
  </si>
  <si>
    <t xml:space="preserve">Vajadus kokku </t>
  </si>
  <si>
    <t>Toodetud</t>
  </si>
  <si>
    <t>Kulu</t>
  </si>
  <si>
    <t>€/kg</t>
  </si>
  <si>
    <t>Kokku investeeringuvajadus</t>
  </si>
  <si>
    <t>Omafinantseering</t>
  </si>
  <si>
    <t>Võõrkapital</t>
  </si>
  <si>
    <t>Seakasvatuse investeeringuvajadus tootmishoonetesse kui emised</t>
  </si>
  <si>
    <t xml:space="preserve">puurivabal pidamisel. Poegimine 6,5 m2, seemendus 5,5 m2 </t>
  </si>
  <si>
    <t>2026-2036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</si>
</sst>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-* #,##0\ _€_-;\-* #,##0\ _€_-;_-* &quot;-&quot;\ _€_-;_-@_-"/>
    <numFmt numFmtId="167" formatCode="0.0"/>
    <numFmt numFmtId="168" formatCode="_-* #,##0.0\ _€_-;\-* #,##0.0\ _€_-;_-* &quot;-&quot;\ _€_-;_-@_-"/>
    <numFmt numFmtId="169" formatCode="_-* #,##0.00\ _€_-;\-* #,##0.00\ _€_-;_-* &quot;-&quot;\ _€_-;_-@_-"/>
    <numFmt numFmtId="170" formatCode="_-* #,##0.000\ _€_-;\-* #,##0.000\ _€_-;_-* &quot;-&quot;\ _€_-;_-@_-"/>
    <numFmt numFmtId="171" formatCode="_-* #,##0\ _€_-;\-* #,##0\ _€_-;_-* &quot;-&quot;??\ _€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211">
    <xf numFmtId="0" fontId="0" fillId="0" borderId="0" xfId="0"/>
    <xf numFmtId="9" fontId="0" fillId="0" borderId="0" xfId="2" applyFont="1"/>
    <xf numFmtId="10" fontId="0" fillId="0" borderId="0" xfId="2" applyNumberFormat="1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65" fontId="0" fillId="0" borderId="6" xfId="1" applyNumberFormat="1" applyFont="1" applyBorder="1" applyAlignment="1">
      <alignment horizontal="right"/>
    </xf>
    <xf numFmtId="0" fontId="0" fillId="0" borderId="7" xfId="0" applyBorder="1"/>
    <xf numFmtId="0" fontId="0" fillId="0" borderId="8" xfId="0" applyBorder="1"/>
    <xf numFmtId="165" fontId="0" fillId="0" borderId="9" xfId="1" applyNumberFormat="1" applyFont="1" applyBorder="1" applyAlignment="1">
      <alignment horizontal="right"/>
    </xf>
    <xf numFmtId="0" fontId="0" fillId="0" borderId="10" xfId="0" applyBorder="1"/>
    <xf numFmtId="0" fontId="0" fillId="0" borderId="1" xfId="0" applyBorder="1"/>
    <xf numFmtId="0" fontId="0" fillId="0" borderId="11" xfId="0" applyBorder="1"/>
    <xf numFmtId="0" fontId="0" fillId="0" borderId="9" xfId="0" applyBorder="1"/>
    <xf numFmtId="0" fontId="0" fillId="0" borderId="6" xfId="0" applyBorder="1"/>
    <xf numFmtId="165" fontId="0" fillId="0" borderId="7" xfId="1" applyNumberFormat="1" applyFont="1" applyBorder="1" applyAlignment="1">
      <alignment horizontal="right"/>
    </xf>
    <xf numFmtId="165" fontId="0" fillId="0" borderId="3" xfId="1" applyNumberFormat="1" applyFont="1" applyBorder="1" applyAlignment="1">
      <alignment horizontal="right"/>
    </xf>
    <xf numFmtId="165" fontId="0" fillId="0" borderId="0" xfId="0" applyNumberFormat="1"/>
    <xf numFmtId="164" fontId="0" fillId="0" borderId="0" xfId="1" applyFont="1"/>
    <xf numFmtId="1" fontId="0" fillId="0" borderId="0" xfId="0" applyNumberFormat="1"/>
    <xf numFmtId="0" fontId="3" fillId="0" borderId="0" xfId="0" applyFont="1"/>
    <xf numFmtId="0" fontId="0" fillId="0" borderId="12" xfId="0" applyBorder="1"/>
    <xf numFmtId="1" fontId="2" fillId="0" borderId="0" xfId="0" applyNumberFormat="1" applyFont="1" applyAlignment="1">
      <alignment horizontal="right" vertical="center" wrapText="1"/>
    </xf>
    <xf numFmtId="1" fontId="0" fillId="0" borderId="13" xfId="0" applyNumberFormat="1" applyBorder="1"/>
    <xf numFmtId="1" fontId="0" fillId="0" borderId="6" xfId="0" applyNumberFormat="1" applyBorder="1"/>
    <xf numFmtId="1" fontId="2" fillId="0" borderId="6" xfId="0" applyNumberFormat="1" applyFont="1" applyBorder="1" applyAlignment="1">
      <alignment horizontal="right" vertical="center" wrapText="1"/>
    </xf>
    <xf numFmtId="1" fontId="0" fillId="0" borderId="14" xfId="0" applyNumberFormat="1" applyBorder="1"/>
    <xf numFmtId="1" fontId="0" fillId="0" borderId="3" xfId="0" applyNumberFormat="1" applyBorder="1"/>
    <xf numFmtId="2" fontId="0" fillId="0" borderId="3" xfId="0" applyNumberFormat="1" applyBorder="1"/>
    <xf numFmtId="1" fontId="0" fillId="0" borderId="12" xfId="0" applyNumberFormat="1" applyBorder="1"/>
    <xf numFmtId="0" fontId="0" fillId="0" borderId="13" xfId="0" applyBorder="1"/>
    <xf numFmtId="0" fontId="3" fillId="0" borderId="4" xfId="0" applyFont="1" applyBorder="1"/>
    <xf numFmtId="1" fontId="2" fillId="0" borderId="3" xfId="0" applyNumberFormat="1" applyFont="1" applyBorder="1" applyAlignment="1">
      <alignment horizontal="right" vertical="center" wrapText="1"/>
    </xf>
    <xf numFmtId="0" fontId="0" fillId="0" borderId="14" xfId="0" applyBorder="1"/>
    <xf numFmtId="0" fontId="3" fillId="0" borderId="13" xfId="0" applyFont="1" applyBorder="1"/>
    <xf numFmtId="166" fontId="0" fillId="0" borderId="0" xfId="0" applyNumberFormat="1"/>
    <xf numFmtId="166" fontId="0" fillId="0" borderId="6" xfId="0" applyNumberFormat="1" applyBorder="1"/>
    <xf numFmtId="2" fontId="0" fillId="0" borderId="0" xfId="0" applyNumberFormat="1"/>
    <xf numFmtId="166" fontId="0" fillId="0" borderId="14" xfId="0" applyNumberFormat="1" applyBorder="1"/>
    <xf numFmtId="0" fontId="5" fillId="0" borderId="0" xfId="0" applyFont="1"/>
    <xf numFmtId="0" fontId="0" fillId="0" borderId="15" xfId="0" applyBorder="1"/>
    <xf numFmtId="0" fontId="6" fillId="0" borderId="0" xfId="0" applyFont="1"/>
    <xf numFmtId="0" fontId="7" fillId="0" borderId="0" xfId="0" applyFont="1"/>
    <xf numFmtId="167" fontId="5" fillId="0" borderId="0" xfId="0" applyNumberFormat="1" applyFont="1"/>
    <xf numFmtId="168" fontId="5" fillId="0" borderId="0" xfId="0" applyNumberFormat="1" applyFont="1"/>
    <xf numFmtId="9" fontId="5" fillId="0" borderId="0" xfId="2" applyFont="1"/>
    <xf numFmtId="0" fontId="5" fillId="0" borderId="2" xfId="0" applyFont="1" applyBorder="1"/>
    <xf numFmtId="0" fontId="5" fillId="0" borderId="3" xfId="0" applyFont="1" applyBorder="1"/>
    <xf numFmtId="0" fontId="5" fillId="0" borderId="12" xfId="0" applyFont="1" applyBorder="1"/>
    <xf numFmtId="166" fontId="5" fillId="0" borderId="5" xfId="0" applyNumberFormat="1" applyFont="1" applyBorder="1"/>
    <xf numFmtId="166" fontId="5" fillId="0" borderId="6" xfId="0" applyNumberFormat="1" applyFont="1" applyBorder="1"/>
    <xf numFmtId="166" fontId="5" fillId="0" borderId="14" xfId="0" applyNumberFormat="1" applyFont="1" applyBorder="1"/>
    <xf numFmtId="0" fontId="5" fillId="0" borderId="5" xfId="0" applyFont="1" applyBorder="1"/>
    <xf numFmtId="0" fontId="5" fillId="0" borderId="14" xfId="0" applyFont="1" applyBorder="1"/>
    <xf numFmtId="0" fontId="5" fillId="0" borderId="6" xfId="0" applyFont="1" applyBorder="1"/>
    <xf numFmtId="168" fontId="5" fillId="0" borderId="3" xfId="0" applyNumberFormat="1" applyFont="1" applyBorder="1"/>
    <xf numFmtId="0" fontId="5" fillId="0" borderId="4" xfId="0" applyFont="1" applyBorder="1"/>
    <xf numFmtId="0" fontId="5" fillId="0" borderId="13" xfId="0" applyFont="1" applyBorder="1"/>
    <xf numFmtId="166" fontId="8" fillId="0" borderId="6" xfId="0" applyNumberFormat="1" applyFont="1" applyBorder="1"/>
    <xf numFmtId="166" fontId="5" fillId="0" borderId="0" xfId="0" applyNumberFormat="1" applyFont="1"/>
    <xf numFmtId="0" fontId="8" fillId="0" borderId="10" xfId="0" applyFont="1" applyBorder="1"/>
    <xf numFmtId="0" fontId="8" fillId="0" borderId="11" xfId="0" applyFont="1" applyBorder="1"/>
    <xf numFmtId="166" fontId="8" fillId="0" borderId="11" xfId="0" applyNumberFormat="1" applyFont="1" applyBorder="1"/>
    <xf numFmtId="0" fontId="8" fillId="0" borderId="15" xfId="0" applyFont="1" applyBorder="1"/>
    <xf numFmtId="0" fontId="5" fillId="0" borderId="1" xfId="0" applyFont="1" applyBorder="1"/>
    <xf numFmtId="167" fontId="5" fillId="0" borderId="1" xfId="0" applyNumberFormat="1" applyFont="1" applyBorder="1"/>
    <xf numFmtId="0" fontId="9" fillId="0" borderId="3" xfId="0" applyFont="1" applyBorder="1"/>
    <xf numFmtId="0" fontId="9" fillId="0" borderId="12" xfId="0" applyFont="1" applyBorder="1"/>
    <xf numFmtId="0" fontId="9" fillId="0" borderId="5" xfId="0" applyFont="1" applyBorder="1"/>
    <xf numFmtId="168" fontId="9" fillId="0" borderId="6" xfId="0" applyNumberFormat="1" applyFont="1" applyBorder="1"/>
    <xf numFmtId="0" fontId="9" fillId="0" borderId="6" xfId="0" applyFont="1" applyBorder="1"/>
    <xf numFmtId="0" fontId="9" fillId="0" borderId="14" xfId="0" applyFont="1" applyBorder="1"/>
    <xf numFmtId="0" fontId="8" fillId="0" borderId="4" xfId="0" applyFont="1" applyBorder="1"/>
    <xf numFmtId="166" fontId="0" fillId="0" borderId="13" xfId="0" applyNumberFormat="1" applyBorder="1"/>
    <xf numFmtId="166" fontId="0" fillId="0" borderId="12" xfId="0" applyNumberFormat="1" applyBorder="1"/>
    <xf numFmtId="0" fontId="3" fillId="0" borderId="10" xfId="0" applyFont="1" applyBorder="1"/>
    <xf numFmtId="0" fontId="3" fillId="0" borderId="11" xfId="0" applyFont="1" applyBorder="1"/>
    <xf numFmtId="166" fontId="3" fillId="0" borderId="15" xfId="0" applyNumberFormat="1" applyFont="1" applyBorder="1"/>
    <xf numFmtId="9" fontId="0" fillId="0" borderId="0" xfId="2" applyFont="1" applyBorder="1"/>
    <xf numFmtId="9" fontId="0" fillId="0" borderId="6" xfId="2" applyFont="1" applyBorder="1"/>
    <xf numFmtId="1" fontId="0" fillId="0" borderId="8" xfId="0" applyNumberFormat="1" applyBorder="1"/>
    <xf numFmtId="1" fontId="0" fillId="0" borderId="9" xfId="0" applyNumberFormat="1" applyBorder="1"/>
    <xf numFmtId="166" fontId="0" fillId="0" borderId="8" xfId="0" applyNumberFormat="1" applyBorder="1"/>
    <xf numFmtId="166" fontId="0" fillId="0" borderId="9" xfId="0" applyNumberFormat="1" applyBorder="1"/>
    <xf numFmtId="9" fontId="0" fillId="0" borderId="8" xfId="2" applyFont="1" applyBorder="1"/>
    <xf numFmtId="9" fontId="0" fillId="0" borderId="9" xfId="2" applyFont="1" applyBorder="1"/>
    <xf numFmtId="166" fontId="3" fillId="0" borderId="11" xfId="0" applyNumberFormat="1" applyFont="1" applyBorder="1"/>
    <xf numFmtId="0" fontId="3" fillId="0" borderId="15" xfId="0" applyFont="1" applyBorder="1"/>
    <xf numFmtId="0" fontId="3" fillId="0" borderId="5" xfId="0" applyFont="1" applyBorder="1"/>
    <xf numFmtId="0" fontId="3" fillId="0" borderId="6" xfId="0" applyFont="1" applyBorder="1"/>
    <xf numFmtId="166" fontId="0" fillId="0" borderId="7" xfId="0" applyNumberFormat="1" applyBorder="1"/>
    <xf numFmtId="0" fontId="3" fillId="0" borderId="9" xfId="0" applyFont="1" applyBorder="1"/>
    <xf numFmtId="166" fontId="3" fillId="0" borderId="9" xfId="0" applyNumberFormat="1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2" xfId="0" applyFont="1" applyBorder="1"/>
    <xf numFmtId="2" fontId="0" fillId="0" borderId="6" xfId="0" applyNumberFormat="1" applyBorder="1"/>
    <xf numFmtId="9" fontId="0" fillId="0" borderId="3" xfId="2" applyFont="1" applyBorder="1"/>
    <xf numFmtId="169" fontId="3" fillId="0" borderId="14" xfId="0" applyNumberFormat="1" applyFont="1" applyBorder="1"/>
    <xf numFmtId="9" fontId="0" fillId="2" borderId="8" xfId="2" applyFont="1" applyFill="1" applyBorder="1"/>
    <xf numFmtId="9" fontId="0" fillId="2" borderId="0" xfId="2" applyFont="1" applyFill="1" applyBorder="1"/>
    <xf numFmtId="9" fontId="0" fillId="2" borderId="7" xfId="2" applyFont="1" applyFill="1" applyBorder="1"/>
    <xf numFmtId="165" fontId="0" fillId="0" borderId="2" xfId="0" applyNumberFormat="1" applyBorder="1"/>
    <xf numFmtId="165" fontId="0" fillId="0" borderId="3" xfId="0" applyNumberFormat="1" applyBorder="1"/>
    <xf numFmtId="9" fontId="0" fillId="0" borderId="0" xfId="0" applyNumberFormat="1"/>
    <xf numFmtId="170" fontId="3" fillId="0" borderId="11" xfId="0" applyNumberFormat="1" applyFont="1" applyBorder="1"/>
    <xf numFmtId="0" fontId="0" fillId="3" borderId="2" xfId="0" applyFill="1" applyBorder="1"/>
    <xf numFmtId="0" fontId="0" fillId="3" borderId="3" xfId="0" applyFill="1" applyBorder="1"/>
    <xf numFmtId="1" fontId="0" fillId="3" borderId="3" xfId="0" applyNumberFormat="1" applyFill="1" applyBorder="1"/>
    <xf numFmtId="0" fontId="0" fillId="3" borderId="12" xfId="0" applyFill="1" applyBorder="1"/>
    <xf numFmtId="0" fontId="0" fillId="3" borderId="4" xfId="0" applyFill="1" applyBorder="1"/>
    <xf numFmtId="0" fontId="0" fillId="3" borderId="0" xfId="0" applyFill="1"/>
    <xf numFmtId="1" fontId="0" fillId="3" borderId="0" xfId="0" applyNumberFormat="1" applyFill="1"/>
    <xf numFmtId="0" fontId="0" fillId="3" borderId="13" xfId="0" applyFill="1" applyBorder="1"/>
    <xf numFmtId="0" fontId="0" fillId="3" borderId="5" xfId="0" applyFill="1" applyBorder="1"/>
    <xf numFmtId="0" fontId="0" fillId="3" borderId="6" xfId="0" applyFill="1" applyBorder="1"/>
    <xf numFmtId="1" fontId="0" fillId="3" borderId="6" xfId="0" applyNumberFormat="1" applyFill="1" applyBorder="1"/>
    <xf numFmtId="0" fontId="0" fillId="3" borderId="14" xfId="0" applyFill="1" applyBorder="1"/>
    <xf numFmtId="0" fontId="0" fillId="4" borderId="2" xfId="0" applyFill="1" applyBorder="1"/>
    <xf numFmtId="0" fontId="0" fillId="4" borderId="3" xfId="0" applyFill="1" applyBorder="1"/>
    <xf numFmtId="1" fontId="0" fillId="4" borderId="3" xfId="0" applyNumberFormat="1" applyFill="1" applyBorder="1"/>
    <xf numFmtId="0" fontId="0" fillId="4" borderId="12" xfId="0" applyFill="1" applyBorder="1"/>
    <xf numFmtId="0" fontId="0" fillId="4" borderId="4" xfId="0" applyFill="1" applyBorder="1"/>
    <xf numFmtId="0" fontId="0" fillId="4" borderId="0" xfId="0" applyFill="1"/>
    <xf numFmtId="1" fontId="0" fillId="4" borderId="0" xfId="0" applyNumberFormat="1" applyFill="1"/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1" fontId="0" fillId="4" borderId="6" xfId="0" applyNumberFormat="1" applyFill="1" applyBorder="1"/>
    <xf numFmtId="0" fontId="0" fillId="4" borderId="14" xfId="0" applyFill="1" applyBorder="1"/>
    <xf numFmtId="0" fontId="0" fillId="5" borderId="2" xfId="0" applyFill="1" applyBorder="1"/>
    <xf numFmtId="0" fontId="0" fillId="5" borderId="3" xfId="0" applyFill="1" applyBorder="1"/>
    <xf numFmtId="1" fontId="0" fillId="5" borderId="3" xfId="0" applyNumberFormat="1" applyFill="1" applyBorder="1"/>
    <xf numFmtId="0" fontId="0" fillId="5" borderId="12" xfId="0" applyFill="1" applyBorder="1"/>
    <xf numFmtId="0" fontId="0" fillId="5" borderId="4" xfId="0" applyFill="1" applyBorder="1"/>
    <xf numFmtId="0" fontId="0" fillId="5" borderId="0" xfId="0" applyFill="1"/>
    <xf numFmtId="1" fontId="0" fillId="5" borderId="0" xfId="0" applyNumberFormat="1" applyFill="1"/>
    <xf numFmtId="0" fontId="0" fillId="5" borderId="13" xfId="0" applyFill="1" applyBorder="1"/>
    <xf numFmtId="0" fontId="0" fillId="5" borderId="5" xfId="0" applyFill="1" applyBorder="1"/>
    <xf numFmtId="0" fontId="0" fillId="5" borderId="6" xfId="0" applyFill="1" applyBorder="1"/>
    <xf numFmtId="1" fontId="0" fillId="5" borderId="6" xfId="0" applyNumberFormat="1" applyFill="1" applyBorder="1"/>
    <xf numFmtId="0" fontId="0" fillId="5" borderId="14" xfId="0" applyFill="1" applyBorder="1"/>
    <xf numFmtId="0" fontId="0" fillId="6" borderId="2" xfId="0" applyFill="1" applyBorder="1"/>
    <xf numFmtId="0" fontId="0" fillId="6" borderId="3" xfId="0" applyFill="1" applyBorder="1"/>
    <xf numFmtId="1" fontId="0" fillId="6" borderId="3" xfId="0" applyNumberFormat="1" applyFill="1" applyBorder="1"/>
    <xf numFmtId="0" fontId="0" fillId="6" borderId="12" xfId="0" applyFill="1" applyBorder="1"/>
    <xf numFmtId="0" fontId="0" fillId="6" borderId="4" xfId="0" applyFill="1" applyBorder="1"/>
    <xf numFmtId="0" fontId="0" fillId="6" borderId="0" xfId="0" applyFill="1"/>
    <xf numFmtId="1" fontId="0" fillId="6" borderId="0" xfId="0" applyNumberFormat="1" applyFill="1"/>
    <xf numFmtId="0" fontId="0" fillId="6" borderId="13" xfId="0" applyFill="1" applyBorder="1"/>
    <xf numFmtId="0" fontId="0" fillId="6" borderId="5" xfId="0" applyFill="1" applyBorder="1"/>
    <xf numFmtId="0" fontId="0" fillId="6" borderId="6" xfId="0" applyFill="1" applyBorder="1"/>
    <xf numFmtId="1" fontId="0" fillId="6" borderId="6" xfId="0" applyNumberFormat="1" applyFill="1" applyBorder="1"/>
    <xf numFmtId="0" fontId="0" fillId="6" borderId="14" xfId="0" applyFill="1" applyBorder="1"/>
    <xf numFmtId="0" fontId="0" fillId="6" borderId="10" xfId="0" applyFill="1" applyBorder="1"/>
    <xf numFmtId="0" fontId="0" fillId="6" borderId="11" xfId="0" applyFill="1" applyBorder="1"/>
    <xf numFmtId="1" fontId="0" fillId="6" borderId="11" xfId="0" applyNumberFormat="1" applyFill="1" applyBorder="1"/>
    <xf numFmtId="0" fontId="0" fillId="6" borderId="15" xfId="0" applyFill="1" applyBorder="1"/>
    <xf numFmtId="0" fontId="8" fillId="0" borderId="0" xfId="0" applyFont="1"/>
    <xf numFmtId="9" fontId="8" fillId="0" borderId="0" xfId="2" applyFont="1"/>
    <xf numFmtId="166" fontId="8" fillId="0" borderId="0" xfId="0" applyNumberFormat="1" applyFont="1"/>
    <xf numFmtId="166" fontId="11" fillId="0" borderId="10" xfId="0" applyNumberFormat="1" applyFont="1" applyBorder="1"/>
    <xf numFmtId="1" fontId="11" fillId="0" borderId="11" xfId="0" applyNumberFormat="1" applyFont="1" applyBorder="1"/>
    <xf numFmtId="0" fontId="11" fillId="0" borderId="11" xfId="0" applyFont="1" applyBorder="1"/>
    <xf numFmtId="0" fontId="11" fillId="0" borderId="15" xfId="0" applyFont="1" applyBorder="1"/>
    <xf numFmtId="167" fontId="12" fillId="0" borderId="0" xfId="0" applyNumberFormat="1" applyFont="1"/>
    <xf numFmtId="0" fontId="13" fillId="0" borderId="0" xfId="0" applyFont="1"/>
    <xf numFmtId="10" fontId="3" fillId="0" borderId="11" xfId="2" applyNumberFormat="1" applyFont="1" applyBorder="1"/>
    <xf numFmtId="9" fontId="5" fillId="0" borderId="0" xfId="2" applyFont="1" applyBorder="1"/>
    <xf numFmtId="168" fontId="5" fillId="2" borderId="3" xfId="0" applyNumberFormat="1" applyFont="1" applyFill="1" applyBorder="1"/>
    <xf numFmtId="168" fontId="8" fillId="2" borderId="6" xfId="0" applyNumberFormat="1" applyFont="1" applyFill="1" applyBorder="1"/>
    <xf numFmtId="9" fontId="5" fillId="2" borderId="3" xfId="2" applyFont="1" applyFill="1" applyBorder="1"/>
    <xf numFmtId="0" fontId="5" fillId="2" borderId="1" xfId="0" applyFont="1" applyFill="1" applyBorder="1"/>
    <xf numFmtId="9" fontId="5" fillId="2" borderId="1" xfId="2" applyFont="1" applyFill="1" applyBorder="1"/>
    <xf numFmtId="168" fontId="8" fillId="0" borderId="0" xfId="0" applyNumberFormat="1" applyFont="1"/>
    <xf numFmtId="9" fontId="0" fillId="2" borderId="0" xfId="2" applyFont="1" applyFill="1"/>
    <xf numFmtId="9" fontId="0" fillId="2" borderId="3" xfId="2" applyFont="1" applyFill="1" applyBorder="1"/>
    <xf numFmtId="167" fontId="0" fillId="2" borderId="3" xfId="0" applyNumberFormat="1" applyFill="1" applyBorder="1"/>
    <xf numFmtId="167" fontId="0" fillId="2" borderId="0" xfId="0" applyNumberFormat="1" applyFill="1"/>
    <xf numFmtId="2" fontId="0" fillId="2" borderId="6" xfId="0" applyNumberFormat="1" applyFill="1" applyBorder="1"/>
    <xf numFmtId="2" fontId="5" fillId="0" borderId="0" xfId="0" applyNumberFormat="1" applyFont="1"/>
    <xf numFmtId="0" fontId="9" fillId="0" borderId="4" xfId="0" applyFont="1" applyBorder="1"/>
    <xf numFmtId="168" fontId="9" fillId="0" borderId="0" xfId="0" applyNumberFormat="1" applyFont="1"/>
    <xf numFmtId="0" fontId="9" fillId="0" borderId="0" xfId="0" applyFont="1"/>
    <xf numFmtId="0" fontId="9" fillId="0" borderId="13" xfId="0" applyFont="1" applyBorder="1"/>
    <xf numFmtId="0" fontId="14" fillId="0" borderId="2" xfId="0" applyFont="1" applyBorder="1"/>
    <xf numFmtId="0" fontId="5" fillId="0" borderId="12" xfId="0" quotePrefix="1" applyFont="1" applyBorder="1"/>
    <xf numFmtId="9" fontId="5" fillId="0" borderId="12" xfId="0" applyNumberFormat="1" applyFont="1" applyBorder="1"/>
    <xf numFmtId="166" fontId="12" fillId="0" borderId="14" xfId="0" applyNumberFormat="1" applyFont="1" applyBorder="1"/>
    <xf numFmtId="0" fontId="10" fillId="2" borderId="10" xfId="0" applyFont="1" applyFill="1" applyBorder="1"/>
    <xf numFmtId="0" fontId="10" fillId="2" borderId="11" xfId="0" applyFont="1" applyFill="1" applyBorder="1"/>
    <xf numFmtId="166" fontId="10" fillId="2" borderId="15" xfId="0" applyNumberFormat="1" applyFont="1" applyFill="1" applyBorder="1"/>
    <xf numFmtId="2" fontId="3" fillId="0" borderId="0" xfId="0" applyNumberFormat="1" applyFont="1"/>
    <xf numFmtId="0" fontId="0" fillId="2" borderId="0" xfId="0" applyFill="1"/>
    <xf numFmtId="0" fontId="0" fillId="0" borderId="16" xfId="0" applyBorder="1"/>
    <xf numFmtId="0" fontId="3" fillId="0" borderId="16" xfId="0" applyFont="1" applyBorder="1"/>
    <xf numFmtId="2" fontId="0" fillId="0" borderId="16" xfId="0" applyNumberFormat="1" applyBorder="1"/>
    <xf numFmtId="0" fontId="0" fillId="2" borderId="16" xfId="0" applyFill="1" applyBorder="1"/>
    <xf numFmtId="165" fontId="5" fillId="0" borderId="0" xfId="0" applyNumberFormat="1" applyFont="1"/>
    <xf numFmtId="167" fontId="0" fillId="0" borderId="0" xfId="0" applyNumberFormat="1"/>
    <xf numFmtId="1" fontId="3" fillId="0" borderId="0" xfId="0" applyNumberFormat="1" applyFont="1"/>
    <xf numFmtId="1" fontId="3" fillId="0" borderId="16" xfId="0" applyNumberFormat="1" applyFont="1" applyBorder="1"/>
    <xf numFmtId="1" fontId="0" fillId="0" borderId="16" xfId="0" applyNumberFormat="1" applyBorder="1"/>
    <xf numFmtId="0" fontId="12" fillId="0" borderId="0" xfId="0" applyFont="1"/>
    <xf numFmtId="171" fontId="5" fillId="0" borderId="0" xfId="0" applyNumberFormat="1" applyFont="1"/>
    <xf numFmtId="9" fontId="5" fillId="0" borderId="3" xfId="0" applyNumberFormat="1" applyFont="1" applyBorder="1"/>
    <xf numFmtId="171" fontId="5" fillId="0" borderId="13" xfId="0" applyNumberFormat="1" applyFont="1" applyBorder="1"/>
    <xf numFmtId="3" fontId="8" fillId="2" borderId="14" xfId="0" applyNumberFormat="1" applyFont="1" applyFill="1" applyBorder="1"/>
    <xf numFmtId="0" fontId="8" fillId="2" borderId="5" xfId="0" applyFont="1" applyFill="1" applyBorder="1" applyAlignment="1">
      <alignment wrapText="1"/>
    </xf>
    <xf numFmtId="166" fontId="12" fillId="7" borderId="15" xfId="0" applyNumberFormat="1" applyFont="1" applyFill="1" applyBorder="1"/>
  </cellXfs>
  <cellStyles count="4">
    <cellStyle name="Currency" xfId="1" builtinId="4"/>
    <cellStyle name="Normaallaad 2" xfId="3" xr:uid="{A9D317E5-CF0E-49F5-9CFC-A58B9098113E}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929306369935516E-2"/>
          <c:y val="2.7211140383891611E-2"/>
          <c:w val="0.86430536156531279"/>
          <c:h val="0.76459008311333254"/>
        </c:manualLayout>
      </c:layout>
      <c:lineChart>
        <c:grouping val="standard"/>
        <c:varyColors val="0"/>
        <c:ser>
          <c:idx val="1"/>
          <c:order val="0"/>
          <c:tx>
            <c:strRef>
              <c:f>Emisetoodang!$I$1</c:f>
              <c:strCache>
                <c:ptCount val="1"/>
                <c:pt idx="0">
                  <c:v>Toodang, kg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>
                  <a:lumMod val="95000"/>
                </a:schemeClr>
              </a:solidFill>
              <a:ln w="9525">
                <a:solidFill>
                  <a:schemeClr val="accent2">
                    <a:lumMod val="50000"/>
                  </a:schemeClr>
                </a:solidFill>
              </a:ln>
              <a:effectLst/>
            </c:spPr>
          </c:marker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5400000" spcFirstLastPara="1" vertOverflow="ellipsis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Emisetoodang!$B$2:$B$34</c:f>
              <c:numCache>
                <c:formatCode>General</c:formatCode>
                <c:ptCount val="33"/>
                <c:pt idx="0">
                  <c:v>2001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  <c:pt idx="25">
                  <c:v>2027</c:v>
                </c:pt>
                <c:pt idx="26">
                  <c:v>2028</c:v>
                </c:pt>
                <c:pt idx="27">
                  <c:v>2029</c:v>
                </c:pt>
                <c:pt idx="28">
                  <c:v>2030</c:v>
                </c:pt>
                <c:pt idx="29">
                  <c:v>2031</c:v>
                </c:pt>
                <c:pt idx="30">
                  <c:v>2032</c:v>
                </c:pt>
                <c:pt idx="31">
                  <c:v>2033</c:v>
                </c:pt>
                <c:pt idx="32">
                  <c:v>2034</c:v>
                </c:pt>
              </c:numCache>
            </c:numRef>
          </c:cat>
          <c:val>
            <c:numRef>
              <c:f>Emisetoodang!$I$2:$I$24</c:f>
              <c:numCache>
                <c:formatCode>0</c:formatCode>
                <c:ptCount val="23"/>
                <c:pt idx="0">
                  <c:v>1299.6836000000001</c:v>
                </c:pt>
                <c:pt idx="1">
                  <c:v>1402.2</c:v>
                </c:pt>
                <c:pt idx="2">
                  <c:v>1576.6959999999999</c:v>
                </c:pt>
                <c:pt idx="3">
                  <c:v>1537.7460000000001</c:v>
                </c:pt>
                <c:pt idx="4">
                  <c:v>1521.3870000000002</c:v>
                </c:pt>
                <c:pt idx="5">
                  <c:v>1521.3870000000002</c:v>
                </c:pt>
                <c:pt idx="6">
                  <c:v>1537.7460000000001</c:v>
                </c:pt>
                <c:pt idx="7">
                  <c:v>1554.105</c:v>
                </c:pt>
                <c:pt idx="8">
                  <c:v>1586.8230000000001</c:v>
                </c:pt>
                <c:pt idx="9">
                  <c:v>1713.8000000000002</c:v>
                </c:pt>
                <c:pt idx="10">
                  <c:v>1748.076</c:v>
                </c:pt>
                <c:pt idx="11">
                  <c:v>1845.4509999999998</c:v>
                </c:pt>
                <c:pt idx="12">
                  <c:v>1815.0700000000002</c:v>
                </c:pt>
                <c:pt idx="13">
                  <c:v>1924.1299999999999</c:v>
                </c:pt>
                <c:pt idx="14">
                  <c:v>1783.9099999999999</c:v>
                </c:pt>
                <c:pt idx="15">
                  <c:v>1816.6280000000004</c:v>
                </c:pt>
                <c:pt idx="16">
                  <c:v>1850.9040000000005</c:v>
                </c:pt>
                <c:pt idx="17">
                  <c:v>1936.5940000000003</c:v>
                </c:pt>
                <c:pt idx="18">
                  <c:v>2078.3719999999998</c:v>
                </c:pt>
                <c:pt idx="19">
                  <c:v>2096.2889999999998</c:v>
                </c:pt>
                <c:pt idx="20">
                  <c:v>2114.2060000000001</c:v>
                </c:pt>
                <c:pt idx="21">
                  <c:v>2132.1229999999996</c:v>
                </c:pt>
                <c:pt idx="22">
                  <c:v>2185.8739999999998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69-4D7B-A92B-5C222AD7ECFC}"/>
            </c:ext>
          </c:extLst>
        </c:ser>
        <c:ser>
          <c:idx val="3"/>
          <c:order val="3"/>
          <c:tx>
            <c:strRef>
              <c:f>Emisetoodang!$K$1</c:f>
              <c:strCache>
                <c:ptCount val="1"/>
                <c:pt idx="0">
                  <c:v>Toodangu prognoos, kg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9525">
                <a:solidFill>
                  <a:schemeClr val="accent1">
                    <a:lumMod val="50000"/>
                  </a:schemeClr>
                </a:solidFill>
              </a:ln>
              <a:effectLst/>
            </c:spPr>
          </c:marker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5400000" spcFirstLastPara="1" vertOverflow="ellipsis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Emisetoodang!$B$2:$B$34</c:f>
              <c:numCache>
                <c:formatCode>General</c:formatCode>
                <c:ptCount val="33"/>
                <c:pt idx="0">
                  <c:v>2001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  <c:pt idx="25">
                  <c:v>2027</c:v>
                </c:pt>
                <c:pt idx="26">
                  <c:v>2028</c:v>
                </c:pt>
                <c:pt idx="27">
                  <c:v>2029</c:v>
                </c:pt>
                <c:pt idx="28">
                  <c:v>2030</c:v>
                </c:pt>
                <c:pt idx="29">
                  <c:v>2031</c:v>
                </c:pt>
                <c:pt idx="30">
                  <c:v>2032</c:v>
                </c:pt>
                <c:pt idx="31">
                  <c:v>2033</c:v>
                </c:pt>
                <c:pt idx="32">
                  <c:v>2034</c:v>
                </c:pt>
              </c:numCache>
            </c:numRef>
          </c:cat>
          <c:val>
            <c:numRef>
              <c:f>Emisetoodang!$K$2:$K$34</c:f>
              <c:numCache>
                <c:formatCode>0.00</c:formatCode>
                <c:ptCount val="33"/>
                <c:pt idx="23" formatCode="0">
                  <c:v>2221.7079999999996</c:v>
                </c:pt>
                <c:pt idx="24" formatCode="0">
                  <c:v>2257.5419999999995</c:v>
                </c:pt>
                <c:pt idx="25" formatCode="0">
                  <c:v>2293.3759999999993</c:v>
                </c:pt>
                <c:pt idx="26" formatCode="0">
                  <c:v>2329.2099999999991</c:v>
                </c:pt>
                <c:pt idx="27" formatCode="0">
                  <c:v>2365.043999999999</c:v>
                </c:pt>
                <c:pt idx="28" formatCode="0">
                  <c:v>2400.8779999999988</c:v>
                </c:pt>
                <c:pt idx="29" formatCode="0">
                  <c:v>2533.3079999999991</c:v>
                </c:pt>
                <c:pt idx="30" formatCode="0">
                  <c:v>2561.351999999999</c:v>
                </c:pt>
                <c:pt idx="31" formatCode="0">
                  <c:v>2589.3959999999993</c:v>
                </c:pt>
                <c:pt idx="32" formatCode="0">
                  <c:v>2617.4399999999991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69-4D7B-A92B-5C222AD7EC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727936"/>
        <c:axId val="144725216"/>
      </c:lineChart>
      <c:lineChart>
        <c:grouping val="standard"/>
        <c:varyColors val="0"/>
        <c:ser>
          <c:idx val="0"/>
          <c:order val="1"/>
          <c:tx>
            <c:strRef>
              <c:f>Emisetoodang!$H$1</c:f>
              <c:strCache>
                <c:ptCount val="1"/>
                <c:pt idx="0">
                  <c:v>Nuumikuid aastas emiselt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7"/>
            <c:spPr>
              <a:solidFill>
                <a:schemeClr val="bg1"/>
              </a:solidFill>
              <a:ln w="9525">
                <a:solidFill>
                  <a:schemeClr val="accent1">
                    <a:lumMod val="50000"/>
                  </a:schemeClr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Emisetoodang!$B$2:$B$34</c:f>
              <c:numCache>
                <c:formatCode>General</c:formatCode>
                <c:ptCount val="33"/>
                <c:pt idx="0">
                  <c:v>2001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  <c:pt idx="25">
                  <c:v>2027</c:v>
                </c:pt>
                <c:pt idx="26">
                  <c:v>2028</c:v>
                </c:pt>
                <c:pt idx="27">
                  <c:v>2029</c:v>
                </c:pt>
                <c:pt idx="28">
                  <c:v>2030</c:v>
                </c:pt>
                <c:pt idx="29">
                  <c:v>2031</c:v>
                </c:pt>
                <c:pt idx="30">
                  <c:v>2032</c:v>
                </c:pt>
                <c:pt idx="31">
                  <c:v>2033</c:v>
                </c:pt>
                <c:pt idx="32">
                  <c:v>2034</c:v>
                </c:pt>
              </c:numCache>
            </c:numRef>
          </c:cat>
          <c:val>
            <c:numRef>
              <c:f>Emisetoodang!$H$2:$H$24</c:f>
              <c:numCache>
                <c:formatCode>0</c:formatCode>
                <c:ptCount val="23"/>
                <c:pt idx="0">
                  <c:v>15.8498</c:v>
                </c:pt>
                <c:pt idx="1">
                  <c:v>17.100000000000001</c:v>
                </c:pt>
                <c:pt idx="2">
                  <c:v>19.227999999999998</c:v>
                </c:pt>
                <c:pt idx="3">
                  <c:v>18.753</c:v>
                </c:pt>
                <c:pt idx="4">
                  <c:v>18.553500000000003</c:v>
                </c:pt>
                <c:pt idx="5">
                  <c:v>18.553500000000003</c:v>
                </c:pt>
                <c:pt idx="6">
                  <c:v>18.753</c:v>
                </c:pt>
                <c:pt idx="7">
                  <c:v>18.952500000000001</c:v>
                </c:pt>
                <c:pt idx="8">
                  <c:v>19.351500000000001</c:v>
                </c:pt>
                <c:pt idx="9">
                  <c:v>20.900000000000002</c:v>
                </c:pt>
                <c:pt idx="10">
                  <c:v>21.318000000000001</c:v>
                </c:pt>
                <c:pt idx="11">
                  <c:v>22.505499999999998</c:v>
                </c:pt>
                <c:pt idx="12">
                  <c:v>22.135000000000002</c:v>
                </c:pt>
                <c:pt idx="13">
                  <c:v>23.465</c:v>
                </c:pt>
                <c:pt idx="14">
                  <c:v>21.754999999999999</c:v>
                </c:pt>
                <c:pt idx="15">
                  <c:v>22.154000000000003</c:v>
                </c:pt>
                <c:pt idx="16">
                  <c:v>22.572000000000006</c:v>
                </c:pt>
                <c:pt idx="17">
                  <c:v>23.617000000000004</c:v>
                </c:pt>
                <c:pt idx="18">
                  <c:v>25.345999999999997</c:v>
                </c:pt>
                <c:pt idx="19">
                  <c:v>25.564499999999995</c:v>
                </c:pt>
                <c:pt idx="20">
                  <c:v>25.783000000000001</c:v>
                </c:pt>
                <c:pt idx="21">
                  <c:v>26.001499999999997</c:v>
                </c:pt>
                <c:pt idx="22">
                  <c:v>26.656999999999996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769-4D7B-A92B-5C222AD7ECFC}"/>
            </c:ext>
          </c:extLst>
        </c:ser>
        <c:ser>
          <c:idx val="2"/>
          <c:order val="2"/>
          <c:tx>
            <c:strRef>
              <c:f>Emisetoodang!$J$1</c:f>
              <c:strCache>
                <c:ptCount val="1"/>
                <c:pt idx="0">
                  <c:v>Nuumikuid aastas emiselt, prognoos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triangle"/>
            <c:size val="7"/>
            <c:spPr>
              <a:solidFill>
                <a:schemeClr val="bg1"/>
              </a:solidFill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Emisetoodang!$B$2:$B$34</c:f>
              <c:numCache>
                <c:formatCode>General</c:formatCode>
                <c:ptCount val="33"/>
                <c:pt idx="0">
                  <c:v>2001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  <c:pt idx="25">
                  <c:v>2027</c:v>
                </c:pt>
                <c:pt idx="26">
                  <c:v>2028</c:v>
                </c:pt>
                <c:pt idx="27">
                  <c:v>2029</c:v>
                </c:pt>
                <c:pt idx="28">
                  <c:v>2030</c:v>
                </c:pt>
                <c:pt idx="29">
                  <c:v>2031</c:v>
                </c:pt>
                <c:pt idx="30">
                  <c:v>2032</c:v>
                </c:pt>
                <c:pt idx="31">
                  <c:v>2033</c:v>
                </c:pt>
                <c:pt idx="32">
                  <c:v>2034</c:v>
                </c:pt>
              </c:numCache>
            </c:numRef>
          </c:cat>
          <c:val>
            <c:numRef>
              <c:f>Emisetoodang!$J$2:$J$34</c:f>
              <c:numCache>
                <c:formatCode>0.00</c:formatCode>
                <c:ptCount val="33"/>
                <c:pt idx="23" formatCode="0">
                  <c:v>27.093999999999998</c:v>
                </c:pt>
                <c:pt idx="24" formatCode="0">
                  <c:v>27.530999999999995</c:v>
                </c:pt>
                <c:pt idx="25" formatCode="0">
                  <c:v>27.967999999999989</c:v>
                </c:pt>
                <c:pt idx="26" formatCode="0">
                  <c:v>28.40499999999999</c:v>
                </c:pt>
                <c:pt idx="27" formatCode="0">
                  <c:v>28.841999999999988</c:v>
                </c:pt>
                <c:pt idx="28" formatCode="0">
                  <c:v>29.278999999999986</c:v>
                </c:pt>
                <c:pt idx="29" formatCode="0">
                  <c:v>30.893999999999988</c:v>
                </c:pt>
                <c:pt idx="30" formatCode="0">
                  <c:v>31.235999999999986</c:v>
                </c:pt>
                <c:pt idx="31" formatCode="0">
                  <c:v>31.577999999999989</c:v>
                </c:pt>
                <c:pt idx="32" formatCode="0">
                  <c:v>31.919999999999991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769-4D7B-A92B-5C222AD7EC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9981760"/>
        <c:axId val="2064700304"/>
      </c:lineChart>
      <c:catAx>
        <c:axId val="1447279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b="1"/>
                  <a:t>Aasta</a:t>
                </a:r>
                <a:endParaRPr lang="et-EE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t-EE"/>
            </a:p>
          </c:txPr>
        </c:title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44725216"/>
        <c:crosses val="autoZero"/>
        <c:auto val="1"/>
        <c:lblAlgn val="ctr"/>
        <c:lblOffset val="100"/>
        <c:noMultiLvlLbl val="0"/>
      </c:catAx>
      <c:valAx>
        <c:axId val="144725216"/>
        <c:scaling>
          <c:orientation val="minMax"/>
          <c:max val="3000"/>
          <c:min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b="1"/>
                  <a:t>Toodang, kg</a:t>
                </a:r>
                <a:endParaRPr lang="et-EE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t-E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44727936"/>
        <c:crosses val="autoZero"/>
        <c:crossBetween val="between"/>
      </c:valAx>
      <c:valAx>
        <c:axId val="206470030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b="1"/>
                  <a:t>Nuumikuid emiselt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981760"/>
        <c:crosses val="max"/>
        <c:crossBetween val="between"/>
      </c:valAx>
      <c:catAx>
        <c:axId val="10299817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647003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49039509208382"/>
          <c:y val="0.47143021314861799"/>
          <c:w val="0.27342598362839676"/>
          <c:h val="0.282553851901218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</a:defRPr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794017</xdr:colOff>
      <xdr:row>2</xdr:row>
      <xdr:rowOff>12806</xdr:rowOff>
    </xdr:from>
    <xdr:to>
      <xdr:col>10</xdr:col>
      <xdr:colOff>238001</xdr:colOff>
      <xdr:row>20</xdr:row>
      <xdr:rowOff>150922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8FEECDB-C04B-497B-BD1E-D5ED081EDA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workbookViewId="0">
      <selection activeCell="D15" sqref="D15"/>
    </sheetView>
  </sheetViews>
  <sheetFormatPr baseColWidth="10" defaultColWidth="8.83203125" defaultRowHeight="15" x14ac:dyDescent="0.2"/>
  <cols>
    <col min="1" max="1" width="20.5" bestFit="1" customWidth="1"/>
    <col min="2" max="2" width="20.83203125" bestFit="1" customWidth="1"/>
    <col min="6" max="6" width="15.33203125" bestFit="1" customWidth="1"/>
  </cols>
  <sheetData>
    <row r="1" spans="1:6" x14ac:dyDescent="0.2">
      <c r="C1" t="s">
        <v>0</v>
      </c>
      <c r="F1" t="s">
        <v>1</v>
      </c>
    </row>
    <row r="2" spans="1:6" x14ac:dyDescent="0.2">
      <c r="A2" t="s">
        <v>2</v>
      </c>
      <c r="C2">
        <v>30</v>
      </c>
      <c r="D2" t="s">
        <v>3</v>
      </c>
      <c r="F2" s="1">
        <v>0.01</v>
      </c>
    </row>
    <row r="3" spans="1:6" x14ac:dyDescent="0.2">
      <c r="A3" t="s">
        <v>4</v>
      </c>
      <c r="C3">
        <v>15</v>
      </c>
      <c r="D3" t="s">
        <v>3</v>
      </c>
      <c r="F3" s="1">
        <v>0.02</v>
      </c>
    </row>
    <row r="4" spans="1:6" x14ac:dyDescent="0.2">
      <c r="A4" t="s">
        <v>5</v>
      </c>
      <c r="C4">
        <v>10</v>
      </c>
      <c r="D4" t="s">
        <v>3</v>
      </c>
      <c r="F4" s="1">
        <v>0.03</v>
      </c>
    </row>
    <row r="6" spans="1:6" x14ac:dyDescent="0.2">
      <c r="A6" t="s">
        <v>6</v>
      </c>
      <c r="C6" s="2">
        <v>2E-3</v>
      </c>
    </row>
    <row r="8" spans="1:6" x14ac:dyDescent="0.2">
      <c r="A8" t="s">
        <v>7</v>
      </c>
      <c r="C8" s="1">
        <v>0.5</v>
      </c>
      <c r="D8" t="str">
        <f>CONCATENATE(C8*100," % laen ","/ ",(1-C8)*100," % omafinatseering")</f>
        <v>50 % laen / 50 % omafinatseering</v>
      </c>
    </row>
    <row r="9" spans="1:6" x14ac:dyDescent="0.2">
      <c r="A9" t="s">
        <v>8</v>
      </c>
      <c r="C9" s="1">
        <v>0.03</v>
      </c>
    </row>
    <row r="15" spans="1:6" x14ac:dyDescent="0.2">
      <c r="D15">
        <v>800</v>
      </c>
      <c r="F15">
        <v>14000</v>
      </c>
    </row>
    <row r="16" spans="1:6" x14ac:dyDescent="0.2">
      <c r="F16" s="19">
        <f>+F15*D15</f>
        <v>11200000</v>
      </c>
    </row>
    <row r="20" spans="2:2" x14ac:dyDescent="0.2">
      <c r="B20">
        <v>26000</v>
      </c>
    </row>
    <row r="22" spans="2:2" x14ac:dyDescent="0.2">
      <c r="B22" s="19">
        <v>14000</v>
      </c>
    </row>
    <row r="24" spans="2:2" x14ac:dyDescent="0.2">
      <c r="B24" s="19">
        <f>+B22*B20</f>
        <v>364000000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11F51-F4FF-4602-82A4-5AF5970644E3}">
  <dimension ref="A3:P32"/>
  <sheetViews>
    <sheetView workbookViewId="0">
      <selection activeCell="H35" sqref="H35"/>
    </sheetView>
  </sheetViews>
  <sheetFormatPr baseColWidth="10" defaultColWidth="8.83203125" defaultRowHeight="15" x14ac:dyDescent="0.2"/>
  <cols>
    <col min="1" max="1" width="22.33203125" customWidth="1"/>
    <col min="2" max="2" width="14.33203125" customWidth="1"/>
    <col min="3" max="3" width="4.83203125" customWidth="1"/>
    <col min="4" max="4" width="11.33203125" customWidth="1"/>
    <col min="5" max="5" width="12" customWidth="1"/>
    <col min="6" max="6" width="3.83203125" customWidth="1"/>
    <col min="7" max="8" width="10.33203125" customWidth="1"/>
    <col min="16" max="16" width="15.33203125" bestFit="1" customWidth="1"/>
  </cols>
  <sheetData>
    <row r="3" spans="1:16" x14ac:dyDescent="0.2">
      <c r="A3" s="11" t="s">
        <v>9</v>
      </c>
      <c r="B3" s="12" t="s">
        <v>10</v>
      </c>
      <c r="C3" s="13"/>
      <c r="D3" s="12" t="s">
        <v>11</v>
      </c>
      <c r="E3" s="12" t="s">
        <v>12</v>
      </c>
      <c r="F3" s="13"/>
      <c r="G3" s="12" t="s">
        <v>13</v>
      </c>
      <c r="H3" s="12" t="s">
        <v>14</v>
      </c>
    </row>
    <row r="4" spans="1:16" x14ac:dyDescent="0.2">
      <c r="A4" s="3" t="s">
        <v>15</v>
      </c>
      <c r="B4" s="8">
        <v>18</v>
      </c>
      <c r="C4" s="4"/>
      <c r="D4" s="8">
        <v>33</v>
      </c>
      <c r="E4" s="8">
        <v>33</v>
      </c>
      <c r="F4" s="4"/>
      <c r="G4" s="8">
        <v>34.5</v>
      </c>
      <c r="H4" s="8">
        <v>34.5</v>
      </c>
    </row>
    <row r="5" spans="1:16" x14ac:dyDescent="0.2">
      <c r="A5" s="5" t="s">
        <v>16</v>
      </c>
      <c r="B5" s="9">
        <v>5</v>
      </c>
      <c r="D5" s="9">
        <v>6</v>
      </c>
      <c r="E5" s="9">
        <v>6</v>
      </c>
      <c r="G5" s="9">
        <v>6</v>
      </c>
      <c r="H5" s="9">
        <v>6</v>
      </c>
    </row>
    <row r="6" spans="1:16" x14ac:dyDescent="0.2">
      <c r="A6" s="6" t="s">
        <v>17</v>
      </c>
      <c r="B6" s="14">
        <v>3020</v>
      </c>
      <c r="C6" s="15"/>
      <c r="D6" s="14">
        <v>5050</v>
      </c>
      <c r="E6" s="14">
        <v>5050</v>
      </c>
      <c r="F6" s="15"/>
      <c r="G6" s="14">
        <v>5515</v>
      </c>
      <c r="H6" s="14">
        <v>5515</v>
      </c>
    </row>
    <row r="7" spans="1:16" x14ac:dyDescent="0.2">
      <c r="A7" s="5"/>
      <c r="B7" s="9"/>
      <c r="D7" s="9"/>
      <c r="E7" s="9"/>
      <c r="G7" s="9"/>
      <c r="H7" s="9"/>
    </row>
    <row r="8" spans="1:16" x14ac:dyDescent="0.2">
      <c r="A8" s="11" t="s">
        <v>18</v>
      </c>
      <c r="B8" s="12" t="s">
        <v>19</v>
      </c>
      <c r="C8" s="13"/>
      <c r="D8" s="12" t="s">
        <v>19</v>
      </c>
      <c r="E8" s="12" t="s">
        <v>20</v>
      </c>
      <c r="F8" s="13"/>
      <c r="G8" s="12" t="s">
        <v>20</v>
      </c>
      <c r="H8" s="12" t="s">
        <v>20</v>
      </c>
    </row>
    <row r="9" spans="1:16" x14ac:dyDescent="0.2">
      <c r="A9" s="5"/>
      <c r="B9" s="9"/>
      <c r="D9" s="9"/>
      <c r="E9" s="9"/>
      <c r="G9" s="9"/>
      <c r="H9" s="9"/>
    </row>
    <row r="10" spans="1:16" x14ac:dyDescent="0.2">
      <c r="A10" s="3" t="s">
        <v>21</v>
      </c>
      <c r="B10" s="8" t="s">
        <v>22</v>
      </c>
      <c r="C10" s="4"/>
      <c r="D10" s="8" t="s">
        <v>22</v>
      </c>
      <c r="E10" s="8" t="s">
        <v>23</v>
      </c>
      <c r="F10" s="4"/>
      <c r="G10" s="8" t="s">
        <v>22</v>
      </c>
      <c r="H10" s="8" t="s">
        <v>23</v>
      </c>
      <c r="L10">
        <v>3000</v>
      </c>
    </row>
    <row r="11" spans="1:16" x14ac:dyDescent="0.2">
      <c r="A11" s="6" t="s">
        <v>24</v>
      </c>
      <c r="B11" s="14" t="s">
        <v>22</v>
      </c>
      <c r="C11" s="15"/>
      <c r="D11" s="14" t="s">
        <v>22</v>
      </c>
      <c r="E11" s="14" t="s">
        <v>25</v>
      </c>
      <c r="F11" s="15"/>
      <c r="G11" s="14" t="s">
        <v>22</v>
      </c>
      <c r="H11" s="14" t="s">
        <v>25</v>
      </c>
      <c r="L11">
        <v>600</v>
      </c>
      <c r="M11">
        <v>5</v>
      </c>
      <c r="N11">
        <f>+M11*L11</f>
        <v>3000</v>
      </c>
    </row>
    <row r="12" spans="1:16" x14ac:dyDescent="0.2">
      <c r="A12" s="5"/>
      <c r="B12" s="9"/>
      <c r="D12" s="9"/>
      <c r="E12" s="9"/>
      <c r="G12" s="9"/>
      <c r="H12" s="9"/>
      <c r="N12">
        <f>+N11+L10</f>
        <v>6000</v>
      </c>
    </row>
    <row r="13" spans="1:16" x14ac:dyDescent="0.2">
      <c r="A13" s="3" t="s">
        <v>26</v>
      </c>
      <c r="B13" s="16">
        <v>225726</v>
      </c>
      <c r="C13" s="17"/>
      <c r="D13" s="8">
        <v>301060</v>
      </c>
      <c r="E13" s="8">
        <v>350512</v>
      </c>
      <c r="F13" s="4"/>
      <c r="G13" s="8">
        <v>327149</v>
      </c>
      <c r="H13" s="8">
        <v>375391</v>
      </c>
    </row>
    <row r="14" spans="1:16" x14ac:dyDescent="0.2">
      <c r="A14" s="6" t="s">
        <v>27</v>
      </c>
      <c r="B14" s="10">
        <f>+B13/B6</f>
        <v>74.743708609271522</v>
      </c>
      <c r="C14" s="7"/>
      <c r="D14" s="10">
        <f t="shared" ref="D14:H14" si="0">+D13/D6</f>
        <v>59.615841584158417</v>
      </c>
      <c r="E14" s="10">
        <f t="shared" si="0"/>
        <v>69.408316831683166</v>
      </c>
      <c r="F14" s="7"/>
      <c r="G14" s="10">
        <f t="shared" si="0"/>
        <v>59.319854941069806</v>
      </c>
      <c r="H14" s="10">
        <f t="shared" si="0"/>
        <v>68.067271078875791</v>
      </c>
      <c r="L14">
        <v>800</v>
      </c>
      <c r="M14">
        <v>10</v>
      </c>
      <c r="N14">
        <f>+M14*L14</f>
        <v>8000</v>
      </c>
    </row>
    <row r="16" spans="1:16" x14ac:dyDescent="0.2">
      <c r="A16" t="s">
        <v>28</v>
      </c>
      <c r="B16">
        <v>15541</v>
      </c>
      <c r="D16">
        <v>21586</v>
      </c>
      <c r="E16">
        <v>21586</v>
      </c>
      <c r="G16">
        <v>23612</v>
      </c>
      <c r="H16">
        <v>23612</v>
      </c>
      <c r="L16">
        <v>800</v>
      </c>
      <c r="N16">
        <f>+N14+N12</f>
        <v>14000</v>
      </c>
      <c r="P16" s="19">
        <f>+N16*L16</f>
        <v>11200000</v>
      </c>
    </row>
    <row r="17" spans="1:9" x14ac:dyDescent="0.2">
      <c r="A17" t="s">
        <v>29</v>
      </c>
      <c r="B17">
        <v>40942</v>
      </c>
      <c r="D17">
        <v>46313</v>
      </c>
      <c r="E17">
        <v>43317</v>
      </c>
      <c r="G17">
        <v>47344</v>
      </c>
      <c r="H17">
        <v>47344</v>
      </c>
    </row>
    <row r="18" spans="1:9" x14ac:dyDescent="0.2">
      <c r="A18" t="s">
        <v>30</v>
      </c>
      <c r="B18">
        <v>139781</v>
      </c>
      <c r="D18">
        <v>187912</v>
      </c>
      <c r="E18">
        <v>240361</v>
      </c>
      <c r="G18">
        <v>210944</v>
      </c>
      <c r="H18">
        <v>259186</v>
      </c>
    </row>
    <row r="19" spans="1:9" x14ac:dyDescent="0.2">
      <c r="A19" t="s">
        <v>31</v>
      </c>
      <c r="B19">
        <v>29462</v>
      </c>
      <c r="D19">
        <v>45249</v>
      </c>
      <c r="E19">
        <v>45249</v>
      </c>
      <c r="G19">
        <v>45249</v>
      </c>
      <c r="H19">
        <v>45249</v>
      </c>
    </row>
    <row r="21" spans="1:9" x14ac:dyDescent="0.2">
      <c r="B21" s="18"/>
      <c r="D21" s="18" t="s">
        <v>32</v>
      </c>
      <c r="E21" s="18"/>
      <c r="G21" s="103" t="s">
        <v>33</v>
      </c>
      <c r="H21" s="104"/>
      <c r="I21" s="22"/>
    </row>
    <row r="22" spans="1:9" x14ac:dyDescent="0.2">
      <c r="A22" t="s">
        <v>34</v>
      </c>
      <c r="B22">
        <v>5000</v>
      </c>
      <c r="D22">
        <v>33</v>
      </c>
      <c r="E22">
        <f>+D22*B22</f>
        <v>165000</v>
      </c>
      <c r="G22" s="5">
        <f>+E22/B22</f>
        <v>33</v>
      </c>
      <c r="H22" t="s">
        <v>35</v>
      </c>
      <c r="I22" s="31"/>
    </row>
    <row r="23" spans="1:9" x14ac:dyDescent="0.2">
      <c r="A23" t="s">
        <v>36</v>
      </c>
      <c r="E23">
        <v>60000</v>
      </c>
      <c r="G23" s="5">
        <f>+E23/B22</f>
        <v>12</v>
      </c>
      <c r="H23" t="s">
        <v>37</v>
      </c>
      <c r="I23" s="31"/>
    </row>
    <row r="24" spans="1:9" x14ac:dyDescent="0.2">
      <c r="A24" t="s">
        <v>38</v>
      </c>
      <c r="E24">
        <v>50000</v>
      </c>
      <c r="G24" s="5">
        <f>+E24/B22</f>
        <v>10</v>
      </c>
      <c r="H24" t="s">
        <v>39</v>
      </c>
      <c r="I24" s="31"/>
    </row>
    <row r="25" spans="1:9" x14ac:dyDescent="0.2">
      <c r="E25">
        <f>SUM(E22:E24)</f>
        <v>275000</v>
      </c>
      <c r="G25" s="5"/>
      <c r="I25" s="31"/>
    </row>
    <row r="26" spans="1:9" x14ac:dyDescent="0.2">
      <c r="D26" t="s">
        <v>33</v>
      </c>
      <c r="E26" s="38">
        <f>+E25/B22</f>
        <v>55</v>
      </c>
      <c r="G26" s="6">
        <f>SUM(G22:G25)</f>
        <v>55</v>
      </c>
      <c r="H26" s="15" t="s">
        <v>40</v>
      </c>
      <c r="I26" s="34"/>
    </row>
    <row r="29" spans="1:9" x14ac:dyDescent="0.2">
      <c r="A29" t="s">
        <v>41</v>
      </c>
    </row>
    <row r="30" spans="1:9" x14ac:dyDescent="0.2">
      <c r="A30" s="3" t="s">
        <v>42</v>
      </c>
      <c r="B30" s="178">
        <v>4.2</v>
      </c>
      <c r="C30" s="4"/>
      <c r="D30" s="4" t="s">
        <v>43</v>
      </c>
      <c r="E30" s="22"/>
    </row>
    <row r="31" spans="1:9" x14ac:dyDescent="0.2">
      <c r="A31" s="5" t="s">
        <v>42</v>
      </c>
      <c r="B31" s="179">
        <v>0.7</v>
      </c>
      <c r="D31" t="s">
        <v>44</v>
      </c>
      <c r="E31" s="31"/>
      <c r="G31">
        <v>6.4</v>
      </c>
      <c r="H31" s="38">
        <f>+B31/G31</f>
        <v>0.10937499999999999</v>
      </c>
    </row>
    <row r="32" spans="1:9" x14ac:dyDescent="0.2">
      <c r="A32" s="6" t="s">
        <v>42</v>
      </c>
      <c r="B32" s="180">
        <v>2</v>
      </c>
      <c r="C32" s="15"/>
      <c r="D32" s="15" t="s">
        <v>45</v>
      </c>
      <c r="E32" s="34"/>
      <c r="G32">
        <v>3.2</v>
      </c>
      <c r="H32">
        <f>+B32/G32</f>
        <v>0.625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7D879-8C24-487B-B89A-278D6342674E}">
  <dimension ref="B1:Z132"/>
  <sheetViews>
    <sheetView workbookViewId="0">
      <selection activeCell="I127" sqref="I127"/>
    </sheetView>
  </sheetViews>
  <sheetFormatPr baseColWidth="10" defaultColWidth="8.83203125" defaultRowHeight="15" x14ac:dyDescent="0.2"/>
  <cols>
    <col min="2" max="2" width="31.1640625" customWidth="1"/>
    <col min="3" max="3" width="11.6640625" bestFit="1" customWidth="1"/>
    <col min="5" max="5" width="11.6640625" bestFit="1" customWidth="1"/>
    <col min="7" max="7" width="14.6640625" customWidth="1"/>
    <col min="9" max="9" width="11.6640625" bestFit="1" customWidth="1"/>
    <col min="11" max="11" width="11.6640625" bestFit="1" customWidth="1"/>
    <col min="13" max="13" width="11.6640625" bestFit="1" customWidth="1"/>
    <col min="19" max="19" width="28.33203125" customWidth="1"/>
    <col min="20" max="20" width="11.6640625" bestFit="1" customWidth="1"/>
    <col min="22" max="22" width="11.6640625" bestFit="1" customWidth="1"/>
    <col min="24" max="24" width="11.6640625" bestFit="1" customWidth="1"/>
    <col min="26" max="26" width="12.6640625" customWidth="1"/>
    <col min="28" max="28" width="11.83203125" customWidth="1"/>
  </cols>
  <sheetData>
    <row r="1" spans="2:26" s="43" customFormat="1" ht="19" x14ac:dyDescent="0.25">
      <c r="B1" s="42" t="s">
        <v>46</v>
      </c>
      <c r="S1" s="42" t="s">
        <v>47</v>
      </c>
    </row>
    <row r="2" spans="2:26" x14ac:dyDescent="0.2">
      <c r="B2" s="3" t="s">
        <v>48</v>
      </c>
      <c r="C2" s="4" t="s">
        <v>49</v>
      </c>
      <c r="D2" s="4"/>
      <c r="E2" s="4" t="s">
        <v>50</v>
      </c>
      <c r="F2" s="4"/>
      <c r="G2" s="4" t="s">
        <v>51</v>
      </c>
      <c r="H2" s="4"/>
      <c r="I2" s="4" t="s">
        <v>52</v>
      </c>
      <c r="J2" s="4"/>
      <c r="K2" s="4" t="s">
        <v>53</v>
      </c>
      <c r="L2" s="4"/>
      <c r="M2" s="4" t="s">
        <v>54</v>
      </c>
      <c r="N2" s="4"/>
      <c r="O2" s="22"/>
      <c r="S2" s="3" t="s">
        <v>48</v>
      </c>
      <c r="T2" s="4" t="s">
        <v>55</v>
      </c>
      <c r="U2" s="4"/>
      <c r="V2" s="4" t="s">
        <v>56</v>
      </c>
      <c r="W2" s="4"/>
      <c r="X2" s="4" t="s">
        <v>57</v>
      </c>
      <c r="Y2" s="4"/>
      <c r="Z2" s="22"/>
    </row>
    <row r="3" spans="2:26" x14ac:dyDescent="0.2">
      <c r="B3" s="5" t="s">
        <v>58</v>
      </c>
      <c r="C3">
        <v>802</v>
      </c>
      <c r="E3">
        <v>1320</v>
      </c>
      <c r="G3">
        <v>830</v>
      </c>
      <c r="I3">
        <v>1360</v>
      </c>
      <c r="K3">
        <v>1372</v>
      </c>
      <c r="M3">
        <v>1304</v>
      </c>
      <c r="O3" s="31"/>
      <c r="S3" s="5" t="s">
        <v>58</v>
      </c>
      <c r="T3">
        <v>1362</v>
      </c>
      <c r="V3">
        <v>1333</v>
      </c>
      <c r="X3">
        <v>1341</v>
      </c>
      <c r="Z3" s="31"/>
    </row>
    <row r="4" spans="2:26" x14ac:dyDescent="0.2">
      <c r="B4" s="32" t="s">
        <v>59</v>
      </c>
      <c r="C4" s="21">
        <v>720</v>
      </c>
      <c r="D4" s="21"/>
      <c r="E4" s="21">
        <v>1120</v>
      </c>
      <c r="F4" s="21"/>
      <c r="G4" s="21">
        <v>735</v>
      </c>
      <c r="H4" s="21"/>
      <c r="I4" s="21">
        <v>1176</v>
      </c>
      <c r="J4" s="21"/>
      <c r="K4" s="21">
        <v>1176</v>
      </c>
      <c r="L4" s="21"/>
      <c r="M4" s="21">
        <v>1176</v>
      </c>
      <c r="O4" s="24">
        <f>AVERAGE(C4:M4)</f>
        <v>1017.1666666666666</v>
      </c>
      <c r="S4" s="32" t="s">
        <v>59</v>
      </c>
      <c r="T4" s="21">
        <v>1176</v>
      </c>
      <c r="U4" s="21"/>
      <c r="V4" s="21">
        <v>1176</v>
      </c>
      <c r="W4" s="21"/>
      <c r="X4" s="21">
        <v>1176</v>
      </c>
      <c r="Z4" s="31">
        <f>AVERAGE(T4:X4)</f>
        <v>1176</v>
      </c>
    </row>
    <row r="5" spans="2:26" x14ac:dyDescent="0.2">
      <c r="B5" s="5" t="s">
        <v>60</v>
      </c>
      <c r="C5">
        <v>756</v>
      </c>
      <c r="E5">
        <v>1246</v>
      </c>
      <c r="G5">
        <v>784</v>
      </c>
      <c r="I5">
        <v>1286</v>
      </c>
      <c r="K5">
        <v>1298</v>
      </c>
      <c r="M5">
        <v>1230</v>
      </c>
      <c r="O5" s="31"/>
      <c r="S5" s="5" t="s">
        <v>60</v>
      </c>
      <c r="T5">
        <v>1240</v>
      </c>
      <c r="V5">
        <v>1240</v>
      </c>
      <c r="X5">
        <v>1248</v>
      </c>
      <c r="Z5" s="31"/>
    </row>
    <row r="6" spans="2:26" x14ac:dyDescent="0.2">
      <c r="B6" s="5" t="s">
        <v>61</v>
      </c>
      <c r="C6">
        <v>6</v>
      </c>
      <c r="E6">
        <v>10</v>
      </c>
      <c r="G6">
        <v>6</v>
      </c>
      <c r="I6">
        <v>10</v>
      </c>
      <c r="K6">
        <v>10</v>
      </c>
      <c r="M6">
        <v>10</v>
      </c>
      <c r="O6" s="31"/>
      <c r="S6" s="5" t="s">
        <v>61</v>
      </c>
      <c r="T6">
        <v>62</v>
      </c>
      <c r="V6">
        <v>26</v>
      </c>
      <c r="X6">
        <v>26</v>
      </c>
      <c r="Z6" s="31"/>
    </row>
    <row r="7" spans="2:26" x14ac:dyDescent="0.2">
      <c r="B7" s="5" t="s">
        <v>62</v>
      </c>
      <c r="C7">
        <v>38</v>
      </c>
      <c r="E7">
        <v>60</v>
      </c>
      <c r="G7">
        <v>38</v>
      </c>
      <c r="I7">
        <v>60</v>
      </c>
      <c r="K7">
        <v>60</v>
      </c>
      <c r="M7">
        <v>60</v>
      </c>
      <c r="O7" s="31"/>
      <c r="S7" s="5" t="s">
        <v>62</v>
      </c>
      <c r="T7">
        <v>54</v>
      </c>
      <c r="V7">
        <v>54</v>
      </c>
      <c r="X7">
        <v>54</v>
      </c>
      <c r="Z7" s="31"/>
    </row>
    <row r="8" spans="2:26" x14ac:dyDescent="0.2">
      <c r="B8" s="5" t="s">
        <v>63</v>
      </c>
      <c r="C8">
        <v>2</v>
      </c>
      <c r="E8">
        <v>4</v>
      </c>
      <c r="G8">
        <v>2</v>
      </c>
      <c r="I8">
        <v>4</v>
      </c>
      <c r="K8">
        <v>4</v>
      </c>
      <c r="M8">
        <v>4</v>
      </c>
      <c r="O8" s="31"/>
      <c r="S8" s="5" t="s">
        <v>63</v>
      </c>
      <c r="T8">
        <v>6</v>
      </c>
      <c r="V8">
        <v>13</v>
      </c>
      <c r="X8">
        <v>13</v>
      </c>
      <c r="Z8" s="31"/>
    </row>
    <row r="9" spans="2:26" x14ac:dyDescent="0.2">
      <c r="B9" s="5"/>
      <c r="O9" s="31"/>
      <c r="S9" s="5"/>
      <c r="Z9" s="31"/>
    </row>
    <row r="10" spans="2:26" x14ac:dyDescent="0.2">
      <c r="B10" s="5"/>
      <c r="C10" t="s">
        <v>64</v>
      </c>
      <c r="E10" t="s">
        <v>64</v>
      </c>
      <c r="G10" t="s">
        <v>64</v>
      </c>
      <c r="I10" t="s">
        <v>64</v>
      </c>
      <c r="K10" t="s">
        <v>64</v>
      </c>
      <c r="M10" t="s">
        <v>64</v>
      </c>
      <c r="O10" s="31"/>
      <c r="S10" s="6"/>
      <c r="T10" s="15" t="s">
        <v>64</v>
      </c>
      <c r="U10" s="15"/>
      <c r="V10" s="15" t="s">
        <v>64</v>
      </c>
      <c r="W10" s="15"/>
      <c r="X10" s="15" t="s">
        <v>64</v>
      </c>
      <c r="Y10" s="15"/>
      <c r="Z10" s="34"/>
    </row>
    <row r="11" spans="2:26" x14ac:dyDescent="0.2">
      <c r="B11" s="3" t="s">
        <v>65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22"/>
      <c r="S11" s="3" t="s">
        <v>65</v>
      </c>
      <c r="T11" s="4"/>
      <c r="U11" s="4"/>
      <c r="V11" s="4"/>
      <c r="W11" s="4"/>
      <c r="X11" s="4"/>
      <c r="Y11" s="4"/>
      <c r="Z11" s="22"/>
    </row>
    <row r="12" spans="2:26" ht="15" customHeight="1" x14ac:dyDescent="0.2">
      <c r="B12" s="5" t="s">
        <v>66</v>
      </c>
      <c r="C12" s="20">
        <v>1253.0444444444445</v>
      </c>
      <c r="D12" s="20"/>
      <c r="E12" s="20">
        <v>1304.2</v>
      </c>
      <c r="F12" s="20"/>
      <c r="G12" s="23">
        <v>1267.5564625850341</v>
      </c>
      <c r="H12" s="20"/>
      <c r="I12" s="20">
        <v>1300.5544217687075</v>
      </c>
      <c r="J12" s="20"/>
      <c r="K12" s="20">
        <v>1365.0357142857142</v>
      </c>
      <c r="L12" s="20"/>
      <c r="M12" s="20">
        <v>1280.0255102040817</v>
      </c>
      <c r="O12" s="24">
        <f>AVERAGE(C12:M12)</f>
        <v>1295.0694255479971</v>
      </c>
      <c r="S12" s="5" t="s">
        <v>66</v>
      </c>
      <c r="T12" s="20">
        <v>2796.9056122448978</v>
      </c>
      <c r="U12" s="20"/>
      <c r="V12" s="20">
        <v>2785.0382653061224</v>
      </c>
      <c r="W12" s="20"/>
      <c r="X12" s="23">
        <v>3184.7151360544217</v>
      </c>
      <c r="Z12" s="24">
        <f t="shared" ref="Z12:Z26" si="0">AVERAGE(T12:X12)</f>
        <v>2922.219671201814</v>
      </c>
    </row>
    <row r="13" spans="2:26" ht="15" customHeight="1" x14ac:dyDescent="0.2">
      <c r="B13" s="5" t="s">
        <v>67</v>
      </c>
      <c r="C13" s="20">
        <v>725.81111111111113</v>
      </c>
      <c r="D13" s="20"/>
      <c r="E13" s="20">
        <v>730.28928571428571</v>
      </c>
      <c r="F13" s="20"/>
      <c r="G13" s="23">
        <v>741.25170068027217</v>
      </c>
      <c r="H13" s="20"/>
      <c r="I13" s="20">
        <v>739.54591836734699</v>
      </c>
      <c r="J13" s="20"/>
      <c r="K13" s="20">
        <v>723.15901360544217</v>
      </c>
      <c r="L13" s="20"/>
      <c r="M13" s="20">
        <v>701.4362244897959</v>
      </c>
      <c r="O13" s="24">
        <f t="shared" ref="O13:O26" si="1">AVERAGE(C13:M13)</f>
        <v>726.91554232804231</v>
      </c>
      <c r="S13" s="5" t="s">
        <v>67</v>
      </c>
      <c r="T13" s="20">
        <v>622.68537414965988</v>
      </c>
      <c r="U13" s="20"/>
      <c r="V13" s="20">
        <v>651.53231292517012</v>
      </c>
      <c r="W13" s="20"/>
      <c r="X13" s="23">
        <v>656.45408163265301</v>
      </c>
      <c r="Z13" s="24">
        <f t="shared" si="0"/>
        <v>643.55725623582759</v>
      </c>
    </row>
    <row r="14" spans="2:26" ht="15" customHeight="1" x14ac:dyDescent="0.2">
      <c r="B14" s="5" t="s">
        <v>68</v>
      </c>
      <c r="C14" s="20">
        <v>489.32638888888891</v>
      </c>
      <c r="D14" s="20"/>
      <c r="E14" s="20">
        <v>521.93392857142862</v>
      </c>
      <c r="F14" s="20"/>
      <c r="G14" s="23">
        <v>503.95510204081631</v>
      </c>
      <c r="H14" s="20"/>
      <c r="I14" s="20">
        <v>525.62159863945578</v>
      </c>
      <c r="J14" s="20"/>
      <c r="K14" s="20">
        <v>331.48044217687072</v>
      </c>
      <c r="L14" s="20"/>
      <c r="M14" s="20">
        <v>369.4158163265306</v>
      </c>
      <c r="O14" s="24">
        <f t="shared" si="1"/>
        <v>456.95554610733188</v>
      </c>
      <c r="S14" s="5" t="s">
        <v>68</v>
      </c>
      <c r="T14" s="20">
        <v>1227.7627551020407</v>
      </c>
      <c r="U14" s="20"/>
      <c r="V14" s="20">
        <v>1077.1479591836735</v>
      </c>
      <c r="W14" s="20"/>
      <c r="X14" s="23">
        <v>1036.0943877551019</v>
      </c>
      <c r="Z14" s="24">
        <f t="shared" si="0"/>
        <v>1113.6683673469388</v>
      </c>
    </row>
    <row r="15" spans="2:26" ht="15" customHeight="1" x14ac:dyDescent="0.2">
      <c r="B15" s="6" t="s">
        <v>69</v>
      </c>
      <c r="C15" s="25">
        <v>2468.1819444444445</v>
      </c>
      <c r="D15" s="25"/>
      <c r="E15" s="25">
        <v>2556.4232142857145</v>
      </c>
      <c r="F15" s="25"/>
      <c r="G15" s="26">
        <v>2512.7619047619046</v>
      </c>
      <c r="H15" s="25"/>
      <c r="I15" s="25">
        <v>2565.7219387755104</v>
      </c>
      <c r="J15" s="25"/>
      <c r="K15" s="25">
        <v>2419.675170068027</v>
      </c>
      <c r="L15" s="25"/>
      <c r="M15" s="25">
        <v>2350.8784013605441</v>
      </c>
      <c r="N15" s="15"/>
      <c r="O15" s="27">
        <f t="shared" si="1"/>
        <v>2478.9404289493573</v>
      </c>
      <c r="S15" s="6" t="s">
        <v>69</v>
      </c>
      <c r="T15" s="25">
        <v>4647.3528911564626</v>
      </c>
      <c r="U15" s="25"/>
      <c r="V15" s="25">
        <v>4513.7185374149658</v>
      </c>
      <c r="W15" s="25"/>
      <c r="X15" s="26">
        <v>4877.2644557823132</v>
      </c>
      <c r="Y15" s="15"/>
      <c r="Z15" s="27">
        <f t="shared" si="0"/>
        <v>4679.4452947845803</v>
      </c>
    </row>
    <row r="16" spans="2:26" ht="15" customHeight="1" x14ac:dyDescent="0.2">
      <c r="B16" s="3" t="s">
        <v>70</v>
      </c>
      <c r="C16" s="28"/>
      <c r="D16" s="28"/>
      <c r="E16" s="28">
        <v>0</v>
      </c>
      <c r="F16" s="28"/>
      <c r="G16" s="28"/>
      <c r="H16" s="28"/>
      <c r="I16" s="28"/>
      <c r="J16" s="28"/>
      <c r="K16" s="28"/>
      <c r="L16" s="28"/>
      <c r="M16" s="28"/>
      <c r="N16" s="4"/>
      <c r="O16" s="22"/>
      <c r="S16" s="3" t="s">
        <v>70</v>
      </c>
      <c r="T16" s="28"/>
      <c r="U16" s="28"/>
      <c r="V16" s="28"/>
      <c r="W16" s="28"/>
      <c r="X16" s="28"/>
      <c r="Y16" s="4"/>
      <c r="Z16" s="22"/>
    </row>
    <row r="17" spans="2:26" ht="15" customHeight="1" x14ac:dyDescent="0.2">
      <c r="B17" s="5" t="s">
        <v>66</v>
      </c>
      <c r="C17" s="20">
        <v>139.86527777777778</v>
      </c>
      <c r="D17" s="20"/>
      <c r="E17" s="20">
        <v>167.13571428571427</v>
      </c>
      <c r="F17" s="20"/>
      <c r="G17" s="23">
        <v>145.64761904761906</v>
      </c>
      <c r="H17" s="20"/>
      <c r="I17" s="20">
        <v>167.07993197278913</v>
      </c>
      <c r="J17" s="20"/>
      <c r="K17" s="20">
        <v>112.70153061224489</v>
      </c>
      <c r="L17" s="20"/>
      <c r="M17" s="20">
        <v>147.41921768707482</v>
      </c>
      <c r="O17" s="24">
        <f t="shared" si="1"/>
        <v>146.64154856387</v>
      </c>
      <c r="S17" s="5" t="s">
        <v>66</v>
      </c>
      <c r="T17" s="20">
        <v>244.73469387755102</v>
      </c>
      <c r="U17" s="20"/>
      <c r="V17" s="20">
        <v>165.45493197278913</v>
      </c>
      <c r="W17" s="20"/>
      <c r="X17" s="23">
        <v>185.83503401360545</v>
      </c>
      <c r="Z17" s="24">
        <f t="shared" si="0"/>
        <v>198.67488662131518</v>
      </c>
    </row>
    <row r="18" spans="2:26" ht="15" customHeight="1" x14ac:dyDescent="0.2">
      <c r="B18" s="5" t="s">
        <v>67</v>
      </c>
      <c r="C18" s="20">
        <v>159.40416666666667</v>
      </c>
      <c r="D18" s="20"/>
      <c r="E18" s="20">
        <v>169.00892857142858</v>
      </c>
      <c r="F18" s="20"/>
      <c r="G18" s="23">
        <v>161.04489795918369</v>
      </c>
      <c r="H18" s="20"/>
      <c r="I18" s="20">
        <v>166.53826530612244</v>
      </c>
      <c r="J18" s="20"/>
      <c r="K18" s="20">
        <v>113.171768707483</v>
      </c>
      <c r="L18" s="20"/>
      <c r="M18" s="20">
        <v>147.28316326530611</v>
      </c>
      <c r="O18" s="24">
        <f t="shared" si="1"/>
        <v>152.74186507936508</v>
      </c>
      <c r="S18" s="5" t="s">
        <v>67</v>
      </c>
      <c r="T18" s="20">
        <v>27.683673469387756</v>
      </c>
      <c r="U18" s="20"/>
      <c r="V18" s="20">
        <v>20.432823129251702</v>
      </c>
      <c r="W18" s="20"/>
      <c r="X18" s="23">
        <v>20.299319727891156</v>
      </c>
      <c r="Z18" s="24">
        <f t="shared" si="0"/>
        <v>22.805272108843539</v>
      </c>
    </row>
    <row r="19" spans="2:26" ht="15" customHeight="1" x14ac:dyDescent="0.2">
      <c r="B19" s="5" t="s">
        <v>68</v>
      </c>
      <c r="C19" s="20">
        <v>248.65</v>
      </c>
      <c r="D19" s="20"/>
      <c r="E19" s="20">
        <v>258.71875</v>
      </c>
      <c r="F19" s="20"/>
      <c r="G19" s="23">
        <v>253.11156462585035</v>
      </c>
      <c r="H19" s="20"/>
      <c r="I19" s="20">
        <v>257.05697278911566</v>
      </c>
      <c r="J19" s="20"/>
      <c r="K19" s="20">
        <v>270.15136054421771</v>
      </c>
      <c r="L19" s="20"/>
      <c r="M19" s="20">
        <v>173.43792517006804</v>
      </c>
      <c r="O19" s="24">
        <f t="shared" si="1"/>
        <v>243.52109552154192</v>
      </c>
      <c r="S19" s="5" t="s">
        <v>68</v>
      </c>
      <c r="T19" s="20">
        <v>496.18282312925169</v>
      </c>
      <c r="U19" s="20"/>
      <c r="V19" s="20">
        <v>455.72363945578229</v>
      </c>
      <c r="W19" s="20"/>
      <c r="X19" s="23">
        <v>461.90136054421771</v>
      </c>
      <c r="Z19" s="24">
        <f t="shared" si="0"/>
        <v>471.26927437641717</v>
      </c>
    </row>
    <row r="20" spans="2:26" ht="15" customHeight="1" x14ac:dyDescent="0.2">
      <c r="B20" s="6" t="s">
        <v>71</v>
      </c>
      <c r="C20" s="25">
        <v>547.91944444444448</v>
      </c>
      <c r="D20" s="25"/>
      <c r="E20" s="25">
        <v>594.86339285714291</v>
      </c>
      <c r="F20" s="25"/>
      <c r="G20" s="26">
        <v>559.80272108843542</v>
      </c>
      <c r="H20" s="25"/>
      <c r="I20" s="25">
        <v>590.6743197278912</v>
      </c>
      <c r="J20" s="25"/>
      <c r="K20" s="25">
        <v>496.0246598639456</v>
      </c>
      <c r="L20" s="25"/>
      <c r="M20" s="25">
        <v>468.13945578231295</v>
      </c>
      <c r="N20" s="15"/>
      <c r="O20" s="27">
        <f t="shared" si="1"/>
        <v>542.90399896069539</v>
      </c>
      <c r="S20" s="6" t="s">
        <v>71</v>
      </c>
      <c r="T20" s="25">
        <v>768.60119047619048</v>
      </c>
      <c r="U20" s="25"/>
      <c r="V20" s="25">
        <v>641.61224489795916</v>
      </c>
      <c r="W20" s="25"/>
      <c r="X20" s="26">
        <v>668.03571428571433</v>
      </c>
      <c r="Y20" s="15"/>
      <c r="Z20" s="27">
        <f t="shared" si="0"/>
        <v>692.74971655328807</v>
      </c>
    </row>
    <row r="21" spans="2:26" x14ac:dyDescent="0.2">
      <c r="B21" s="3" t="s">
        <v>72</v>
      </c>
      <c r="C21" s="28"/>
      <c r="D21" s="28"/>
      <c r="E21" s="28">
        <v>0</v>
      </c>
      <c r="F21" s="28"/>
      <c r="G21" s="28"/>
      <c r="H21" s="28"/>
      <c r="I21" s="28"/>
      <c r="J21" s="28"/>
      <c r="K21" s="28"/>
      <c r="L21" s="28"/>
      <c r="M21" s="28"/>
      <c r="N21" s="4"/>
      <c r="O21" s="22"/>
      <c r="S21" s="3" t="s">
        <v>72</v>
      </c>
      <c r="T21" s="28"/>
      <c r="U21" s="28"/>
      <c r="V21" s="28"/>
      <c r="W21" s="28"/>
      <c r="X21" s="28"/>
      <c r="Y21" s="4"/>
      <c r="Z21" s="22"/>
    </row>
    <row r="22" spans="2:26" ht="15" customHeight="1" x14ac:dyDescent="0.2">
      <c r="B22" s="5" t="s">
        <v>66</v>
      </c>
      <c r="C22" s="20">
        <v>502.00972222222219</v>
      </c>
      <c r="D22" s="20"/>
      <c r="E22" s="20">
        <v>436.94285714285712</v>
      </c>
      <c r="F22" s="20"/>
      <c r="G22" s="23">
        <v>499.59863945578229</v>
      </c>
      <c r="H22" s="20"/>
      <c r="I22" s="20">
        <v>460.70578231292518</v>
      </c>
      <c r="J22" s="20"/>
      <c r="K22" s="20">
        <v>360.07738095238096</v>
      </c>
      <c r="L22" s="20"/>
      <c r="M22" s="20">
        <v>406.77551020408163</v>
      </c>
      <c r="O22" s="24">
        <f t="shared" si="1"/>
        <v>444.35164871504162</v>
      </c>
      <c r="S22" s="5" t="s">
        <v>66</v>
      </c>
      <c r="T22" s="20">
        <v>971.86054421768711</v>
      </c>
      <c r="U22" s="20"/>
      <c r="V22" s="20">
        <v>728.6947278911565</v>
      </c>
      <c r="W22" s="20"/>
      <c r="X22" s="23">
        <v>790.60714285714289</v>
      </c>
      <c r="Z22" s="24">
        <f t="shared" si="0"/>
        <v>830.3874716553288</v>
      </c>
    </row>
    <row r="23" spans="2:26" ht="15" customHeight="1" x14ac:dyDescent="0.2">
      <c r="B23" s="5" t="s">
        <v>67</v>
      </c>
      <c r="C23" s="20">
        <v>98.233333333333334</v>
      </c>
      <c r="D23" s="20"/>
      <c r="E23" s="20">
        <v>80.509821428571428</v>
      </c>
      <c r="F23" s="20"/>
      <c r="G23" s="23">
        <v>97.827210884353747</v>
      </c>
      <c r="H23" s="20"/>
      <c r="I23" s="20">
        <v>84.109693877551024</v>
      </c>
      <c r="J23" s="20"/>
      <c r="K23" s="20">
        <v>62.92176870748299</v>
      </c>
      <c r="L23" s="20"/>
      <c r="M23" s="20">
        <v>70.175170068027214</v>
      </c>
      <c r="O23" s="24">
        <f t="shared" si="1"/>
        <v>82.296166383219955</v>
      </c>
      <c r="S23" s="5" t="s">
        <v>67</v>
      </c>
      <c r="T23" s="20">
        <v>122.23639455782313</v>
      </c>
      <c r="U23" s="20"/>
      <c r="V23" s="20">
        <v>102.3954081632653</v>
      </c>
      <c r="W23" s="20"/>
      <c r="X23" s="23">
        <v>99.004251700680271</v>
      </c>
      <c r="Z23" s="24">
        <f t="shared" si="0"/>
        <v>107.87868480725622</v>
      </c>
    </row>
    <row r="24" spans="2:26" ht="15" customHeight="1" x14ac:dyDescent="0.2">
      <c r="B24" s="5" t="s">
        <v>68</v>
      </c>
      <c r="C24" s="20">
        <v>0</v>
      </c>
      <c r="D24" s="20"/>
      <c r="E24" s="20">
        <v>0</v>
      </c>
      <c r="F24" s="20"/>
      <c r="G24" s="23">
        <v>0</v>
      </c>
      <c r="H24" s="20"/>
      <c r="I24" s="20">
        <v>0</v>
      </c>
      <c r="J24" s="20"/>
      <c r="K24" s="20">
        <v>0</v>
      </c>
      <c r="L24" s="20"/>
      <c r="M24" s="20">
        <v>0</v>
      </c>
      <c r="O24" s="24">
        <f t="shared" si="1"/>
        <v>0</v>
      </c>
      <c r="S24" s="5" t="s">
        <v>68</v>
      </c>
      <c r="T24" s="20">
        <v>59.857993197278908</v>
      </c>
      <c r="U24" s="20"/>
      <c r="V24" s="20">
        <v>59.847789115646258</v>
      </c>
      <c r="W24" s="20"/>
      <c r="X24" s="23">
        <v>59.846088435374149</v>
      </c>
      <c r="Z24" s="24">
        <f t="shared" si="0"/>
        <v>59.850623582766438</v>
      </c>
    </row>
    <row r="25" spans="2:26" ht="15" customHeight="1" x14ac:dyDescent="0.2">
      <c r="B25" s="6" t="s">
        <v>73</v>
      </c>
      <c r="C25" s="25">
        <v>600.24305555555554</v>
      </c>
      <c r="D25" s="25"/>
      <c r="E25" s="25">
        <v>517.45267857142858</v>
      </c>
      <c r="F25" s="25"/>
      <c r="G25" s="26">
        <v>597.42585034013609</v>
      </c>
      <c r="H25" s="25"/>
      <c r="I25" s="25">
        <v>544.81462585034012</v>
      </c>
      <c r="J25" s="25"/>
      <c r="K25" s="25">
        <v>423</v>
      </c>
      <c r="L25" s="25"/>
      <c r="M25" s="25">
        <v>476.95068027210885</v>
      </c>
      <c r="N25" s="15"/>
      <c r="O25" s="27">
        <f t="shared" si="1"/>
        <v>526.6478150982615</v>
      </c>
      <c r="S25" s="6" t="s">
        <v>73</v>
      </c>
      <c r="T25" s="25">
        <v>1153.9549319727892</v>
      </c>
      <c r="U25" s="25"/>
      <c r="V25" s="25">
        <v>890.9387755102041</v>
      </c>
      <c r="W25" s="25"/>
      <c r="X25" s="26">
        <v>949.45748299319723</v>
      </c>
      <c r="Y25" s="15"/>
      <c r="Z25" s="27">
        <f t="shared" si="0"/>
        <v>998.11706349206349</v>
      </c>
    </row>
    <row r="26" spans="2:26" x14ac:dyDescent="0.2">
      <c r="B26" s="5" t="s">
        <v>40</v>
      </c>
      <c r="C26" s="20">
        <v>3616.3444444444444</v>
      </c>
      <c r="D26" s="20"/>
      <c r="E26" s="20">
        <v>3668.7392857142859</v>
      </c>
      <c r="F26" s="20"/>
      <c r="G26" s="23">
        <v>3669.9904761904763</v>
      </c>
      <c r="H26" s="20"/>
      <c r="I26" s="20">
        <v>3701.2108843537417</v>
      </c>
      <c r="J26" s="20"/>
      <c r="K26" s="20">
        <v>3338.699829931973</v>
      </c>
      <c r="L26" s="20"/>
      <c r="M26" s="20">
        <v>3295.9685374149658</v>
      </c>
      <c r="O26" s="24">
        <f t="shared" si="1"/>
        <v>3548.4922430083152</v>
      </c>
      <c r="S26" s="3" t="s">
        <v>40</v>
      </c>
      <c r="T26" s="28">
        <v>6569.9090136054419</v>
      </c>
      <c r="U26" s="28"/>
      <c r="V26" s="28">
        <v>6046.2695578231296</v>
      </c>
      <c r="W26" s="28"/>
      <c r="X26" s="33">
        <v>6494.7576530612241</v>
      </c>
      <c r="Y26" s="4"/>
      <c r="Z26" s="30">
        <f t="shared" si="0"/>
        <v>6370.3120748299325</v>
      </c>
    </row>
    <row r="27" spans="2:26" x14ac:dyDescent="0.2">
      <c r="B27" s="5"/>
      <c r="C27" s="20"/>
      <c r="D27" s="20"/>
      <c r="E27" s="20"/>
      <c r="F27" s="20"/>
      <c r="G27" s="23"/>
      <c r="H27" s="20"/>
      <c r="I27" s="20"/>
      <c r="J27" s="20"/>
      <c r="K27" s="20"/>
      <c r="L27" s="20"/>
      <c r="M27" s="20"/>
      <c r="O27" s="31"/>
      <c r="S27" s="5"/>
      <c r="T27" s="20"/>
      <c r="U27" s="20"/>
      <c r="V27" s="20"/>
      <c r="W27" s="20"/>
      <c r="X27" s="23"/>
      <c r="Z27" s="31"/>
    </row>
    <row r="28" spans="2:26" x14ac:dyDescent="0.2">
      <c r="B28" s="5" t="s">
        <v>74</v>
      </c>
      <c r="C28" s="36">
        <f>+C26*C4</f>
        <v>2603768</v>
      </c>
      <c r="D28" s="20"/>
      <c r="E28" s="36">
        <f>+E26*E4</f>
        <v>4108988</v>
      </c>
      <c r="F28" s="20"/>
      <c r="G28" s="36">
        <f>+G26*G4</f>
        <v>2697443</v>
      </c>
      <c r="H28" s="20"/>
      <c r="I28" s="36">
        <f>+I26*I4</f>
        <v>4352624</v>
      </c>
      <c r="J28" s="20"/>
      <c r="K28" s="36">
        <f>+K26*K4</f>
        <v>3926311.0000000005</v>
      </c>
      <c r="L28" s="20"/>
      <c r="M28" s="36">
        <f>+M26*M4</f>
        <v>3876059</v>
      </c>
      <c r="O28" s="24"/>
      <c r="S28" s="5" t="s">
        <v>74</v>
      </c>
      <c r="T28" s="36">
        <f>+T26*T4</f>
        <v>7726213</v>
      </c>
      <c r="U28" s="36"/>
      <c r="V28" s="36">
        <f>+V26*V4</f>
        <v>7110413</v>
      </c>
      <c r="W28" s="36"/>
      <c r="X28" s="36">
        <f>+X26*X4</f>
        <v>7637835</v>
      </c>
      <c r="Z28" s="31"/>
    </row>
    <row r="29" spans="2:26" x14ac:dyDescent="0.2">
      <c r="B29" s="5"/>
      <c r="O29" s="24"/>
      <c r="S29" s="6"/>
      <c r="T29" s="15"/>
      <c r="U29" s="15"/>
      <c r="V29" s="15"/>
      <c r="W29" s="15"/>
      <c r="X29" s="15"/>
      <c r="Y29" s="15"/>
      <c r="Z29" s="34"/>
    </row>
    <row r="30" spans="2:26" x14ac:dyDescent="0.2">
      <c r="B30" s="3" t="s">
        <v>40</v>
      </c>
      <c r="C30" s="29"/>
      <c r="D30" s="4"/>
      <c r="E30" s="29"/>
      <c r="F30" s="4"/>
      <c r="G30" s="29"/>
      <c r="H30" s="4"/>
      <c r="I30" s="29"/>
      <c r="J30" s="4"/>
      <c r="K30" s="29"/>
      <c r="L30" s="4"/>
      <c r="M30" s="29"/>
      <c r="N30" s="4"/>
      <c r="O30" s="30"/>
      <c r="S30" s="3" t="s">
        <v>40</v>
      </c>
      <c r="T30" s="29"/>
      <c r="U30" s="4"/>
      <c r="V30" s="29"/>
      <c r="W30" s="4"/>
      <c r="X30" s="29"/>
      <c r="Y30" s="4"/>
      <c r="Z30" s="22"/>
    </row>
    <row r="31" spans="2:26" x14ac:dyDescent="0.2">
      <c r="B31" s="5" t="s">
        <v>66</v>
      </c>
      <c r="C31" s="20">
        <f>+C12+C17+C22</f>
        <v>1894.9194444444443</v>
      </c>
      <c r="E31" s="20">
        <f>+E12+E17+E22</f>
        <v>1908.2785714285715</v>
      </c>
      <c r="G31" s="20">
        <f>+G12+G17+G22</f>
        <v>1912.8027210884352</v>
      </c>
      <c r="I31" s="20">
        <f>+I12+I17+I22</f>
        <v>1928.3401360544217</v>
      </c>
      <c r="K31" s="20">
        <f>+K12+K17+K22</f>
        <v>1837.81462585034</v>
      </c>
      <c r="M31" s="20">
        <f>+M12+M17+M22</f>
        <v>1834.2202380952383</v>
      </c>
      <c r="O31" s="24">
        <f>+O12+O17+O22</f>
        <v>1886.0626228269086</v>
      </c>
      <c r="S31" s="5" t="s">
        <v>66</v>
      </c>
      <c r="T31" s="20">
        <f>+T12+T17+T22</f>
        <v>4013.5008503401359</v>
      </c>
      <c r="V31" s="20">
        <f>+V12+V17+V22</f>
        <v>3679.187925170068</v>
      </c>
      <c r="X31" s="20">
        <f>+X12+X17+X22</f>
        <v>4161.1573129251701</v>
      </c>
      <c r="Z31" s="24">
        <f>+Z12+Z17+Z22</f>
        <v>3951.2820294784578</v>
      </c>
    </row>
    <row r="32" spans="2:26" x14ac:dyDescent="0.2">
      <c r="B32" s="5" t="s">
        <v>67</v>
      </c>
      <c r="C32" s="20">
        <f t="shared" ref="C32:C33" si="2">+C13+C18+C23</f>
        <v>983.44861111111118</v>
      </c>
      <c r="E32" s="20">
        <f t="shared" ref="E32:G32" si="3">+E13+E18+E23</f>
        <v>979.80803571428567</v>
      </c>
      <c r="G32" s="20">
        <f t="shared" si="3"/>
        <v>1000.1238095238095</v>
      </c>
      <c r="I32" s="20">
        <f t="shared" ref="I32:K32" si="4">+I13+I18+I23</f>
        <v>990.19387755102048</v>
      </c>
      <c r="K32" s="20">
        <f t="shared" si="4"/>
        <v>899.25255102040819</v>
      </c>
      <c r="M32" s="20">
        <f t="shared" ref="M32:O32" si="5">+M13+M18+M23</f>
        <v>918.89455782312928</v>
      </c>
      <c r="O32" s="24">
        <f t="shared" si="5"/>
        <v>961.95357379062739</v>
      </c>
      <c r="S32" s="5" t="s">
        <v>67</v>
      </c>
      <c r="T32" s="20">
        <f t="shared" ref="T32" si="6">+T13+T18+T23</f>
        <v>772.60544217687072</v>
      </c>
      <c r="V32" s="20">
        <f t="shared" ref="V32" si="7">+V13+V18+V23</f>
        <v>774.36054421768711</v>
      </c>
      <c r="X32" s="20">
        <f t="shared" ref="X32" si="8">+X13+X18+X23</f>
        <v>775.75765306122446</v>
      </c>
      <c r="Z32" s="24">
        <f t="shared" ref="Z32" si="9">+Z13+Z18+Z23</f>
        <v>774.24121315192735</v>
      </c>
    </row>
    <row r="33" spans="2:26" x14ac:dyDescent="0.2">
      <c r="B33" s="5" t="s">
        <v>68</v>
      </c>
      <c r="C33" s="20">
        <f t="shared" si="2"/>
        <v>737.97638888888889</v>
      </c>
      <c r="E33" s="20">
        <f t="shared" ref="E33:G33" si="10">+E14+E19+E24</f>
        <v>780.65267857142862</v>
      </c>
      <c r="G33" s="20">
        <f t="shared" si="10"/>
        <v>757.06666666666661</v>
      </c>
      <c r="I33" s="20">
        <f t="shared" ref="I33:K33" si="11">+I14+I19+I24</f>
        <v>782.67857142857144</v>
      </c>
      <c r="K33" s="20">
        <f t="shared" si="11"/>
        <v>601.63180272108843</v>
      </c>
      <c r="M33" s="20">
        <f t="shared" ref="M33:O33" si="12">+M14+M19+M24</f>
        <v>542.85374149659867</v>
      </c>
      <c r="O33" s="24">
        <f t="shared" si="12"/>
        <v>700.47664162887384</v>
      </c>
      <c r="S33" s="5" t="s">
        <v>68</v>
      </c>
      <c r="T33" s="20">
        <f t="shared" ref="T33" si="13">+T14+T19+T24</f>
        <v>1783.8035714285713</v>
      </c>
      <c r="V33" s="20">
        <f t="shared" ref="V33" si="14">+V14+V19+V24</f>
        <v>1592.7193877551022</v>
      </c>
      <c r="X33" s="20">
        <f t="shared" ref="X33" si="15">+X14+X19+X24</f>
        <v>1557.8418367346937</v>
      </c>
      <c r="Z33" s="24">
        <f t="shared" ref="Z33" si="16">+Z14+Z19+Z24</f>
        <v>1644.7882653061224</v>
      </c>
    </row>
    <row r="34" spans="2:26" x14ac:dyDescent="0.2">
      <c r="B34" s="6" t="s">
        <v>75</v>
      </c>
      <c r="C34" s="25">
        <f>SUM(C31:C33)</f>
        <v>3616.3444444444444</v>
      </c>
      <c r="D34" s="15"/>
      <c r="E34" s="25">
        <f>SUM(E31:E33)</f>
        <v>3668.7392857142859</v>
      </c>
      <c r="F34" s="15"/>
      <c r="G34" s="25">
        <f>SUM(G31:G33)</f>
        <v>3669.9931972789113</v>
      </c>
      <c r="H34" s="15"/>
      <c r="I34" s="25">
        <f>SUM(I31:I33)</f>
        <v>3701.2125850340135</v>
      </c>
      <c r="J34" s="15"/>
      <c r="K34" s="25">
        <f>SUM(K31:K33)</f>
        <v>3338.6989795918362</v>
      </c>
      <c r="L34" s="15"/>
      <c r="M34" s="25">
        <f>SUM(M31:M33)</f>
        <v>3295.9685374149662</v>
      </c>
      <c r="N34" s="15"/>
      <c r="O34" s="27">
        <f>SUM(O31:O33)</f>
        <v>3548.49283824641</v>
      </c>
      <c r="S34" s="6" t="s">
        <v>75</v>
      </c>
      <c r="T34" s="25">
        <f>SUM(T31:T33)</f>
        <v>6569.9098639455779</v>
      </c>
      <c r="U34" s="15"/>
      <c r="V34" s="25">
        <f>SUM(V31:V33)</f>
        <v>6046.2678571428569</v>
      </c>
      <c r="W34" s="15"/>
      <c r="X34" s="25">
        <f>SUM(X31:X33)</f>
        <v>6494.7568027210882</v>
      </c>
      <c r="Y34" s="15"/>
      <c r="Z34" s="27">
        <f>SUM(Z31:Z33)</f>
        <v>6370.311507936508</v>
      </c>
    </row>
    <row r="35" spans="2:26" x14ac:dyDescent="0.2">
      <c r="C35" s="20"/>
      <c r="E35" s="20"/>
      <c r="G35" s="20"/>
      <c r="I35" s="20"/>
      <c r="K35" s="20"/>
      <c r="M35" s="20"/>
    </row>
    <row r="36" spans="2:26" x14ac:dyDescent="0.2">
      <c r="C36" s="20"/>
      <c r="E36" s="20"/>
      <c r="G36" s="20"/>
      <c r="I36" s="20"/>
      <c r="K36" s="20"/>
      <c r="M36" s="20"/>
    </row>
    <row r="37" spans="2:26" x14ac:dyDescent="0.2">
      <c r="B37" t="s">
        <v>76</v>
      </c>
      <c r="F37" s="36">
        <f>+O34</f>
        <v>3548.49283824641</v>
      </c>
      <c r="G37" t="s">
        <v>77</v>
      </c>
      <c r="I37" s="20"/>
      <c r="K37" s="20"/>
      <c r="M37" s="20"/>
      <c r="S37" t="s">
        <v>76</v>
      </c>
      <c r="W37" s="36">
        <f>+Z34</f>
        <v>6370.311507936508</v>
      </c>
      <c r="X37" t="s">
        <v>77</v>
      </c>
    </row>
    <row r="38" spans="2:26" x14ac:dyDescent="0.2">
      <c r="I38" s="20"/>
      <c r="K38" s="20"/>
      <c r="M38" s="20"/>
    </row>
    <row r="39" spans="2:26" x14ac:dyDescent="0.2">
      <c r="B39" t="s">
        <v>78</v>
      </c>
      <c r="F39" s="176">
        <v>0.9</v>
      </c>
      <c r="G39" t="s">
        <v>79</v>
      </c>
      <c r="I39" s="20"/>
      <c r="K39" s="20"/>
      <c r="M39" s="20"/>
      <c r="S39" t="s">
        <v>78</v>
      </c>
      <c r="W39" s="176">
        <v>0.9</v>
      </c>
      <c r="X39" t="s">
        <v>79</v>
      </c>
    </row>
    <row r="40" spans="2:26" x14ac:dyDescent="0.2">
      <c r="I40" s="20"/>
      <c r="K40" s="20"/>
      <c r="M40" s="20"/>
    </row>
    <row r="41" spans="2:26" x14ac:dyDescent="0.2">
      <c r="B41" s="107" t="s">
        <v>80</v>
      </c>
      <c r="C41" s="108"/>
      <c r="D41" s="108"/>
      <c r="E41" s="108"/>
      <c r="F41" s="109">
        <f>ROUNDUP(O31*$F$39,0)</f>
        <v>1698</v>
      </c>
      <c r="G41" s="110" t="s">
        <v>77</v>
      </c>
      <c r="I41" s="20"/>
      <c r="K41" s="20"/>
      <c r="M41" s="20"/>
      <c r="S41" s="119" t="s">
        <v>80</v>
      </c>
      <c r="T41" s="120"/>
      <c r="U41" s="120"/>
      <c r="V41" s="120"/>
      <c r="W41" s="121">
        <f>ROUNDUP(Z31*$W$39,0)</f>
        <v>3557</v>
      </c>
      <c r="X41" s="122" t="s">
        <v>77</v>
      </c>
    </row>
    <row r="42" spans="2:26" x14ac:dyDescent="0.2">
      <c r="B42" s="111" t="s">
        <v>81</v>
      </c>
      <c r="C42" s="112"/>
      <c r="D42" s="112"/>
      <c r="E42" s="112"/>
      <c r="F42" s="113">
        <f>ROUNDUP(O32*$F$39,0)</f>
        <v>866</v>
      </c>
      <c r="G42" s="114" t="s">
        <v>77</v>
      </c>
      <c r="I42" s="20"/>
      <c r="K42" s="20"/>
      <c r="M42" s="20"/>
      <c r="S42" s="123" t="s">
        <v>81</v>
      </c>
      <c r="T42" s="124"/>
      <c r="U42" s="124"/>
      <c r="V42" s="124"/>
      <c r="W42" s="125">
        <f>ROUNDUP(Z32*$W$39,0)</f>
        <v>697</v>
      </c>
      <c r="X42" s="126" t="s">
        <v>77</v>
      </c>
    </row>
    <row r="43" spans="2:26" x14ac:dyDescent="0.2">
      <c r="B43" s="115" t="s">
        <v>82</v>
      </c>
      <c r="C43" s="116"/>
      <c r="D43" s="116"/>
      <c r="E43" s="116"/>
      <c r="F43" s="117">
        <f>ROUNDUP(O33*$F$39,0)</f>
        <v>631</v>
      </c>
      <c r="G43" s="118" t="s">
        <v>77</v>
      </c>
      <c r="I43" s="20"/>
      <c r="K43" s="20"/>
      <c r="M43" s="20"/>
      <c r="S43" s="127" t="s">
        <v>82</v>
      </c>
      <c r="T43" s="128"/>
      <c r="U43" s="128"/>
      <c r="V43" s="128"/>
      <c r="W43" s="129">
        <f>ROUNDUP(Z33*$W$39,0)</f>
        <v>1481</v>
      </c>
      <c r="X43" s="130" t="s">
        <v>77</v>
      </c>
    </row>
    <row r="44" spans="2:26" x14ac:dyDescent="0.2">
      <c r="B44" s="115" t="s">
        <v>83</v>
      </c>
      <c r="C44" s="116"/>
      <c r="D44" s="116"/>
      <c r="E44" s="116"/>
      <c r="F44" s="117">
        <f>SUM(F41:F43)</f>
        <v>3195</v>
      </c>
      <c r="G44" s="118" t="s">
        <v>77</v>
      </c>
      <c r="I44" s="20"/>
      <c r="K44" s="20"/>
      <c r="M44" s="20"/>
      <c r="S44" s="127" t="s">
        <v>83</v>
      </c>
      <c r="T44" s="128"/>
      <c r="U44" s="128"/>
      <c r="V44" s="128"/>
      <c r="W44" s="129">
        <f>SUM(W41:W43)</f>
        <v>5735</v>
      </c>
      <c r="X44" s="130" t="s">
        <v>77</v>
      </c>
    </row>
    <row r="45" spans="2:26" x14ac:dyDescent="0.2">
      <c r="C45" s="20"/>
      <c r="E45" s="20"/>
      <c r="G45" s="20"/>
      <c r="I45" s="20"/>
      <c r="K45" s="20"/>
      <c r="M45" s="20"/>
    </row>
    <row r="50" spans="2:14" ht="19" x14ac:dyDescent="0.25">
      <c r="B50" s="42" t="s">
        <v>84</v>
      </c>
    </row>
    <row r="51" spans="2:14" x14ac:dyDescent="0.2">
      <c r="B51" s="3" t="s">
        <v>48</v>
      </c>
      <c r="C51" s="4" t="s">
        <v>85</v>
      </c>
      <c r="D51" s="4"/>
      <c r="E51" s="4" t="s">
        <v>86</v>
      </c>
      <c r="F51" s="4"/>
      <c r="G51" s="4" t="s">
        <v>87</v>
      </c>
      <c r="H51" s="4"/>
      <c r="I51" s="4" t="s">
        <v>88</v>
      </c>
      <c r="J51" s="4"/>
      <c r="K51" s="4" t="s">
        <v>89</v>
      </c>
      <c r="L51" s="4"/>
      <c r="M51" s="4"/>
      <c r="N51" s="22"/>
    </row>
    <row r="52" spans="2:14" x14ac:dyDescent="0.2">
      <c r="B52" s="32" t="s">
        <v>58</v>
      </c>
      <c r="C52" s="21">
        <v>2380</v>
      </c>
      <c r="D52" s="21"/>
      <c r="E52" s="21">
        <v>1890</v>
      </c>
      <c r="F52" s="21"/>
      <c r="G52" s="21">
        <v>6480</v>
      </c>
      <c r="I52" s="21">
        <v>2624</v>
      </c>
      <c r="K52" s="21">
        <v>4620</v>
      </c>
      <c r="M52" s="21"/>
      <c r="N52" s="35"/>
    </row>
    <row r="53" spans="2:14" x14ac:dyDescent="0.2">
      <c r="B53" s="5" t="s">
        <v>90</v>
      </c>
      <c r="C53">
        <v>0.35</v>
      </c>
      <c r="E53">
        <v>0.4</v>
      </c>
      <c r="G53">
        <v>0.35</v>
      </c>
      <c r="I53">
        <v>0.35</v>
      </c>
      <c r="K53">
        <v>0.5</v>
      </c>
      <c r="N53" s="31"/>
    </row>
    <row r="54" spans="2:14" x14ac:dyDescent="0.2">
      <c r="B54" s="5" t="s">
        <v>91</v>
      </c>
      <c r="C54">
        <v>35</v>
      </c>
      <c r="E54">
        <v>42</v>
      </c>
      <c r="G54">
        <v>40</v>
      </c>
      <c r="I54">
        <v>16</v>
      </c>
      <c r="K54">
        <v>28</v>
      </c>
      <c r="N54" s="31"/>
    </row>
    <row r="55" spans="2:14" x14ac:dyDescent="0.2">
      <c r="B55" s="5"/>
      <c r="N55" s="31"/>
    </row>
    <row r="56" spans="2:14" x14ac:dyDescent="0.2">
      <c r="B56" s="5"/>
      <c r="C56" t="s">
        <v>64</v>
      </c>
      <c r="E56" t="s">
        <v>64</v>
      </c>
      <c r="G56" t="s">
        <v>64</v>
      </c>
      <c r="I56" t="s">
        <v>64</v>
      </c>
      <c r="K56" t="s">
        <v>64</v>
      </c>
      <c r="N56" s="31"/>
    </row>
    <row r="57" spans="2:14" x14ac:dyDescent="0.2">
      <c r="B57" s="3" t="s">
        <v>65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22"/>
    </row>
    <row r="58" spans="2:14" x14ac:dyDescent="0.2">
      <c r="B58" s="5" t="s">
        <v>66</v>
      </c>
      <c r="C58" s="20">
        <v>224.7</v>
      </c>
      <c r="D58" s="20"/>
      <c r="E58" s="20">
        <v>312.02</v>
      </c>
      <c r="F58" s="20"/>
      <c r="G58" s="23">
        <v>198.7</v>
      </c>
      <c r="I58" s="20">
        <v>258.58</v>
      </c>
      <c r="J58" s="20"/>
      <c r="K58" s="20">
        <v>278.7</v>
      </c>
      <c r="N58" s="24">
        <f>AVERAGE(C58:K58)</f>
        <v>254.54000000000002</v>
      </c>
    </row>
    <row r="59" spans="2:14" x14ac:dyDescent="0.2">
      <c r="B59" s="5" t="s">
        <v>67</v>
      </c>
      <c r="C59" s="20">
        <v>70.650000000000006</v>
      </c>
      <c r="D59" s="20"/>
      <c r="E59" s="20">
        <v>111.77</v>
      </c>
      <c r="F59" s="20"/>
      <c r="G59" s="23">
        <v>79.459999999999994</v>
      </c>
      <c r="I59" s="20">
        <v>99.75</v>
      </c>
      <c r="J59" s="20"/>
      <c r="K59" s="20">
        <v>111.45</v>
      </c>
      <c r="N59" s="24">
        <f t="shared" ref="N59:N61" si="17">AVERAGE(C59:K59)</f>
        <v>94.616</v>
      </c>
    </row>
    <row r="60" spans="2:14" x14ac:dyDescent="0.2">
      <c r="B60" s="5" t="s">
        <v>68</v>
      </c>
      <c r="C60" s="20">
        <v>27.09</v>
      </c>
      <c r="D60" s="20"/>
      <c r="E60" s="20">
        <v>5.78</v>
      </c>
      <c r="F60" s="20"/>
      <c r="G60" s="23">
        <v>23.48</v>
      </c>
      <c r="I60" s="20">
        <v>11.9</v>
      </c>
      <c r="J60" s="20"/>
      <c r="K60" s="20">
        <v>32.93</v>
      </c>
      <c r="N60" s="24">
        <f t="shared" si="17"/>
        <v>20.236000000000001</v>
      </c>
    </row>
    <row r="61" spans="2:14" x14ac:dyDescent="0.2">
      <c r="B61" s="6" t="s">
        <v>69</v>
      </c>
      <c r="C61" s="25">
        <v>322.44</v>
      </c>
      <c r="D61" s="25"/>
      <c r="E61" s="25">
        <v>429.57</v>
      </c>
      <c r="F61" s="25"/>
      <c r="G61" s="26">
        <v>301.64</v>
      </c>
      <c r="H61" s="15"/>
      <c r="I61" s="25">
        <v>370.22</v>
      </c>
      <c r="J61" s="25"/>
      <c r="K61" s="25">
        <v>423.08</v>
      </c>
      <c r="L61" s="15"/>
      <c r="M61" s="15"/>
      <c r="N61" s="24">
        <f t="shared" si="17"/>
        <v>369.39</v>
      </c>
    </row>
    <row r="62" spans="2:14" x14ac:dyDescent="0.2">
      <c r="B62" s="3" t="s">
        <v>70</v>
      </c>
      <c r="C62" s="28"/>
      <c r="D62" s="28"/>
      <c r="E62" s="28"/>
      <c r="F62" s="28"/>
      <c r="G62" s="28"/>
      <c r="H62" s="4"/>
      <c r="I62" s="28"/>
      <c r="J62" s="28"/>
      <c r="K62" s="28"/>
      <c r="L62" s="4"/>
      <c r="M62" s="4"/>
      <c r="N62" s="22"/>
    </row>
    <row r="63" spans="2:14" x14ac:dyDescent="0.2">
      <c r="B63" s="5" t="s">
        <v>66</v>
      </c>
      <c r="C63" s="20">
        <v>24.48</v>
      </c>
      <c r="D63" s="20"/>
      <c r="E63" s="20">
        <v>41.56</v>
      </c>
      <c r="F63" s="20"/>
      <c r="G63" s="23">
        <v>13.47</v>
      </c>
      <c r="I63" s="20">
        <v>17.600000000000001</v>
      </c>
      <c r="J63" s="20"/>
      <c r="K63" s="20">
        <v>18.89</v>
      </c>
      <c r="N63" s="24">
        <f>AVERAGE(C63:K63)</f>
        <v>23.200000000000003</v>
      </c>
    </row>
    <row r="64" spans="2:14" x14ac:dyDescent="0.2">
      <c r="B64" s="5" t="s">
        <v>67</v>
      </c>
      <c r="C64" s="20">
        <v>4.22</v>
      </c>
      <c r="D64" s="20"/>
      <c r="E64" s="20">
        <v>8.25</v>
      </c>
      <c r="F64" s="20"/>
      <c r="G64" s="23">
        <v>3.26</v>
      </c>
      <c r="I64" s="20">
        <v>10.66</v>
      </c>
      <c r="J64" s="20"/>
      <c r="K64" s="20">
        <v>4.58</v>
      </c>
      <c r="N64" s="24">
        <f t="shared" ref="N64:N66" si="18">AVERAGE(C64:K64)</f>
        <v>6.194</v>
      </c>
    </row>
    <row r="65" spans="2:14" x14ac:dyDescent="0.2">
      <c r="B65" s="5" t="s">
        <v>68</v>
      </c>
      <c r="C65" s="20">
        <v>48.62</v>
      </c>
      <c r="D65" s="20"/>
      <c r="E65" s="20">
        <v>58.19</v>
      </c>
      <c r="F65" s="20"/>
      <c r="G65" s="23">
        <v>45.1</v>
      </c>
      <c r="I65" s="20">
        <v>96.14</v>
      </c>
      <c r="J65" s="20"/>
      <c r="K65" s="20">
        <v>79.510000000000005</v>
      </c>
      <c r="N65" s="24">
        <f t="shared" si="18"/>
        <v>65.512</v>
      </c>
    </row>
    <row r="66" spans="2:14" x14ac:dyDescent="0.2">
      <c r="B66" s="6" t="s">
        <v>71</v>
      </c>
      <c r="C66" s="25">
        <v>77.31</v>
      </c>
      <c r="D66" s="25"/>
      <c r="E66" s="25">
        <v>108</v>
      </c>
      <c r="F66" s="25"/>
      <c r="G66" s="26">
        <v>61.83</v>
      </c>
      <c r="H66" s="15"/>
      <c r="I66" s="25">
        <v>124.4</v>
      </c>
      <c r="J66" s="25"/>
      <c r="K66" s="25">
        <v>102.98</v>
      </c>
      <c r="L66" s="15"/>
      <c r="M66" s="15"/>
      <c r="N66" s="24">
        <f t="shared" si="18"/>
        <v>94.903999999999996</v>
      </c>
    </row>
    <row r="67" spans="2:14" x14ac:dyDescent="0.2">
      <c r="B67" s="3" t="s">
        <v>72</v>
      </c>
      <c r="C67" s="28"/>
      <c r="D67" s="28"/>
      <c r="E67" s="28"/>
      <c r="F67" s="28"/>
      <c r="G67" s="28"/>
      <c r="H67" s="4"/>
      <c r="I67" s="28"/>
      <c r="J67" s="28"/>
      <c r="K67" s="28"/>
      <c r="L67" s="4"/>
      <c r="M67" s="4"/>
      <c r="N67" s="22"/>
    </row>
    <row r="68" spans="2:14" x14ac:dyDescent="0.2">
      <c r="B68" s="5" t="s">
        <v>66</v>
      </c>
      <c r="C68" s="20">
        <v>49.52</v>
      </c>
      <c r="D68" s="20"/>
      <c r="E68" s="20">
        <v>45.87</v>
      </c>
      <c r="F68" s="20"/>
      <c r="G68" s="23">
        <v>41.31</v>
      </c>
      <c r="I68" s="20">
        <v>53.17</v>
      </c>
      <c r="J68" s="20"/>
      <c r="K68" s="20">
        <v>57.95</v>
      </c>
      <c r="N68" s="24">
        <f>AVERAGE(C68:K68)</f>
        <v>49.564</v>
      </c>
    </row>
    <row r="69" spans="2:14" x14ac:dyDescent="0.2">
      <c r="B69" s="5" t="s">
        <v>67</v>
      </c>
      <c r="C69" s="20">
        <v>8.5299999999999994</v>
      </c>
      <c r="D69" s="20"/>
      <c r="E69" s="20">
        <v>9.11</v>
      </c>
      <c r="F69" s="20"/>
      <c r="G69" s="23">
        <v>10.01</v>
      </c>
      <c r="I69" s="20">
        <v>12.17</v>
      </c>
      <c r="J69" s="20"/>
      <c r="K69" s="20">
        <v>14.03</v>
      </c>
      <c r="N69" s="24">
        <f t="shared" ref="N69:N72" si="19">AVERAGE(C69:K69)</f>
        <v>10.77</v>
      </c>
    </row>
    <row r="70" spans="2:14" x14ac:dyDescent="0.2">
      <c r="B70" s="5" t="s">
        <v>68</v>
      </c>
      <c r="C70" s="20">
        <v>7.59</v>
      </c>
      <c r="D70" s="20"/>
      <c r="E70" s="20">
        <v>10.51</v>
      </c>
      <c r="F70" s="20"/>
      <c r="G70" s="23">
        <v>5.24</v>
      </c>
      <c r="I70" s="20">
        <v>7.62</v>
      </c>
      <c r="J70" s="20"/>
      <c r="K70" s="20">
        <v>7.35</v>
      </c>
      <c r="N70" s="24">
        <f t="shared" si="19"/>
        <v>7.6620000000000008</v>
      </c>
    </row>
    <row r="71" spans="2:14" x14ac:dyDescent="0.2">
      <c r="B71" s="6" t="s">
        <v>73</v>
      </c>
      <c r="C71" s="25">
        <v>65.64</v>
      </c>
      <c r="D71" s="25"/>
      <c r="E71" s="25">
        <v>65.489999999999995</v>
      </c>
      <c r="F71" s="25"/>
      <c r="G71" s="26">
        <v>56.56</v>
      </c>
      <c r="H71" s="15"/>
      <c r="I71" s="25">
        <v>72.97</v>
      </c>
      <c r="J71" s="25"/>
      <c r="K71" s="25">
        <v>79.33</v>
      </c>
      <c r="L71" s="15"/>
      <c r="M71" s="15"/>
      <c r="N71" s="27">
        <f t="shared" si="19"/>
        <v>67.99799999999999</v>
      </c>
    </row>
    <row r="72" spans="2:14" x14ac:dyDescent="0.2">
      <c r="B72" s="5" t="s">
        <v>40</v>
      </c>
      <c r="C72" s="20">
        <v>465.39</v>
      </c>
      <c r="D72" s="20"/>
      <c r="E72" s="20">
        <v>603.05999999999995</v>
      </c>
      <c r="F72" s="20"/>
      <c r="G72" s="23">
        <v>420.03</v>
      </c>
      <c r="I72" s="20">
        <v>567.59</v>
      </c>
      <c r="J72" s="20"/>
      <c r="K72" s="20">
        <v>605.39</v>
      </c>
      <c r="N72" s="24">
        <f t="shared" si="19"/>
        <v>532.29199999999992</v>
      </c>
    </row>
    <row r="73" spans="2:14" x14ac:dyDescent="0.2">
      <c r="B73" s="5"/>
      <c r="C73" s="20"/>
      <c r="D73" s="20"/>
      <c r="E73" s="20"/>
      <c r="F73" s="20"/>
      <c r="G73" s="23"/>
      <c r="N73" s="31"/>
    </row>
    <row r="74" spans="2:14" x14ac:dyDescent="0.2">
      <c r="B74" s="5" t="s">
        <v>74</v>
      </c>
      <c r="C74" s="36">
        <f>+C72*C52</f>
        <v>1107628.2</v>
      </c>
      <c r="D74" s="20"/>
      <c r="E74" s="36">
        <f>+E72*E52</f>
        <v>1139783.3999999999</v>
      </c>
      <c r="F74" s="20"/>
      <c r="G74" s="36">
        <f>+G72*G52</f>
        <v>2721794.4</v>
      </c>
      <c r="I74" s="36">
        <f>+I72*I52</f>
        <v>1489356.1600000001</v>
      </c>
      <c r="K74" s="36">
        <f>+K72*K52</f>
        <v>2796901.8</v>
      </c>
      <c r="N74" s="31"/>
    </row>
    <row r="75" spans="2:14" x14ac:dyDescent="0.2">
      <c r="B75" s="6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34"/>
    </row>
    <row r="76" spans="2:14" x14ac:dyDescent="0.2">
      <c r="B76" s="3" t="s">
        <v>40</v>
      </c>
      <c r="C76" s="29"/>
      <c r="D76" s="4"/>
      <c r="E76" s="29"/>
      <c r="F76" s="4"/>
      <c r="G76" s="29"/>
      <c r="H76" s="4"/>
      <c r="I76" s="29"/>
      <c r="J76" s="4"/>
      <c r="K76" s="4"/>
      <c r="L76" s="4"/>
      <c r="M76" s="4"/>
      <c r="N76" s="22"/>
    </row>
    <row r="77" spans="2:14" x14ac:dyDescent="0.2">
      <c r="B77" s="5" t="s">
        <v>66</v>
      </c>
      <c r="C77" s="20">
        <f>+C58+C63+C68</f>
        <v>298.7</v>
      </c>
      <c r="E77" s="20">
        <f>+E58+E63+E68</f>
        <v>399.45</v>
      </c>
      <c r="G77" s="20">
        <f>+G58+G63+G68</f>
        <v>253.48</v>
      </c>
      <c r="I77" s="20">
        <f>+I58+I63+I68</f>
        <v>329.35</v>
      </c>
      <c r="K77" s="20">
        <f>+K58+K63+K68</f>
        <v>355.53999999999996</v>
      </c>
      <c r="N77" s="24">
        <f>+N58+N63+N68</f>
        <v>327.30400000000003</v>
      </c>
    </row>
    <row r="78" spans="2:14" x14ac:dyDescent="0.2">
      <c r="B78" s="5" t="s">
        <v>67</v>
      </c>
      <c r="C78" s="20">
        <f t="shared" ref="C78" si="20">+C59+C64+C69</f>
        <v>83.4</v>
      </c>
      <c r="E78" s="20">
        <f t="shared" ref="E78" si="21">+E59+E64+E69</f>
        <v>129.13</v>
      </c>
      <c r="G78" s="20">
        <f t="shared" ref="G78:I79" si="22">+G59+G64+G69</f>
        <v>92.73</v>
      </c>
      <c r="I78" s="20">
        <f t="shared" si="22"/>
        <v>122.58</v>
      </c>
      <c r="K78" s="20">
        <f t="shared" ref="K78" si="23">+K59+K64+K69</f>
        <v>130.06</v>
      </c>
      <c r="N78" s="24">
        <f t="shared" ref="N78:N79" si="24">+N59+N64+N69</f>
        <v>111.58</v>
      </c>
    </row>
    <row r="79" spans="2:14" x14ac:dyDescent="0.2">
      <c r="B79" s="5" t="s">
        <v>68</v>
      </c>
      <c r="C79" s="20">
        <f t="shared" ref="C79" si="25">+C60+C65+C70</f>
        <v>83.3</v>
      </c>
      <c r="E79" s="20">
        <f t="shared" ref="E79" si="26">+E60+E65+E70</f>
        <v>74.48</v>
      </c>
      <c r="G79" s="20">
        <f t="shared" si="22"/>
        <v>73.819999999999993</v>
      </c>
      <c r="I79" s="20">
        <f t="shared" si="22"/>
        <v>115.66000000000001</v>
      </c>
      <c r="K79" s="20">
        <f t="shared" ref="K79" si="27">+K60+K65+K70</f>
        <v>119.78999999999999</v>
      </c>
      <c r="N79" s="24">
        <f t="shared" si="24"/>
        <v>93.410000000000011</v>
      </c>
    </row>
    <row r="80" spans="2:14" x14ac:dyDescent="0.2">
      <c r="B80" s="6" t="s">
        <v>92</v>
      </c>
      <c r="C80" s="37">
        <f>SUM(C77:C79)</f>
        <v>465.40000000000003</v>
      </c>
      <c r="D80" s="15"/>
      <c r="E80" s="37">
        <f>SUM(E77:E79)</f>
        <v>603.05999999999995</v>
      </c>
      <c r="F80" s="15"/>
      <c r="G80" s="37">
        <f>SUM(G77:G79)</f>
        <v>420.03</v>
      </c>
      <c r="H80" s="15"/>
      <c r="I80" s="37">
        <f>SUM(I77:I79)</f>
        <v>567.59</v>
      </c>
      <c r="J80" s="15"/>
      <c r="K80" s="37">
        <f>SUM(K77:K79)</f>
        <v>605.39</v>
      </c>
      <c r="L80" s="15"/>
      <c r="M80" s="15"/>
      <c r="N80" s="39">
        <f>SUM(N77:N79)</f>
        <v>532.29399999999998</v>
      </c>
    </row>
    <row r="82" spans="2:14" x14ac:dyDescent="0.2">
      <c r="B82" t="s">
        <v>76</v>
      </c>
      <c r="F82" s="36">
        <f>N80</f>
        <v>532.29399999999998</v>
      </c>
      <c r="G82" t="s">
        <v>93</v>
      </c>
      <c r="J82">
        <v>5.0999999999999996</v>
      </c>
      <c r="K82" s="20">
        <f>+J82*F82</f>
        <v>2714.6993999999995</v>
      </c>
      <c r="L82" s="20">
        <f>+F44+K82</f>
        <v>5909.6993999999995</v>
      </c>
      <c r="M82" t="s">
        <v>94</v>
      </c>
    </row>
    <row r="84" spans="2:14" x14ac:dyDescent="0.2">
      <c r="B84" t="s">
        <v>78</v>
      </c>
      <c r="F84" s="176">
        <v>0.9</v>
      </c>
      <c r="G84" t="s">
        <v>79</v>
      </c>
    </row>
    <row r="86" spans="2:14" x14ac:dyDescent="0.2">
      <c r="B86" s="131" t="s">
        <v>80</v>
      </c>
      <c r="C86" s="132"/>
      <c r="D86" s="132"/>
      <c r="E86" s="132"/>
      <c r="F86" s="133">
        <f>ROUNDUP(N77*$F$84,0)</f>
        <v>295</v>
      </c>
      <c r="G86" s="134" t="s">
        <v>93</v>
      </c>
    </row>
    <row r="87" spans="2:14" x14ac:dyDescent="0.2">
      <c r="B87" s="135" t="s">
        <v>81</v>
      </c>
      <c r="C87" s="136"/>
      <c r="D87" s="136"/>
      <c r="E87" s="136"/>
      <c r="F87" s="137">
        <f>ROUNDUP(N78*$F$84,0)</f>
        <v>101</v>
      </c>
      <c r="G87" s="138" t="s">
        <v>93</v>
      </c>
    </row>
    <row r="88" spans="2:14" x14ac:dyDescent="0.2">
      <c r="B88" s="139" t="s">
        <v>82</v>
      </c>
      <c r="C88" s="140"/>
      <c r="D88" s="140"/>
      <c r="E88" s="140"/>
      <c r="F88" s="141">
        <f>ROUNDUP(N79*$F$84,0)</f>
        <v>85</v>
      </c>
      <c r="G88" s="142" t="s">
        <v>93</v>
      </c>
    </row>
    <row r="89" spans="2:14" x14ac:dyDescent="0.2">
      <c r="B89" s="139" t="s">
        <v>83</v>
      </c>
      <c r="C89" s="140"/>
      <c r="D89" s="140"/>
      <c r="E89" s="140"/>
      <c r="F89" s="141">
        <f>SUM(F86:F88)</f>
        <v>481</v>
      </c>
      <c r="G89" s="142" t="s">
        <v>93</v>
      </c>
    </row>
    <row r="92" spans="2:14" ht="19" x14ac:dyDescent="0.25">
      <c r="B92" s="42" t="s">
        <v>95</v>
      </c>
    </row>
    <row r="93" spans="2:14" x14ac:dyDescent="0.2">
      <c r="B93" s="3" t="s">
        <v>48</v>
      </c>
      <c r="C93" s="4" t="s">
        <v>96</v>
      </c>
      <c r="D93" s="4"/>
      <c r="E93" s="4" t="s">
        <v>97</v>
      </c>
      <c r="F93" s="4"/>
      <c r="G93" s="4" t="s">
        <v>98</v>
      </c>
      <c r="H93" s="4"/>
      <c r="I93" s="4" t="s">
        <v>99</v>
      </c>
      <c r="J93" s="4"/>
      <c r="K93" s="4" t="s">
        <v>100</v>
      </c>
      <c r="L93" s="4"/>
      <c r="M93" s="4"/>
      <c r="N93" s="22"/>
    </row>
    <row r="94" spans="2:14" x14ac:dyDescent="0.2">
      <c r="B94" s="32" t="s">
        <v>58</v>
      </c>
      <c r="C94" s="21">
        <v>1240</v>
      </c>
      <c r="D94" s="21"/>
      <c r="E94" s="21">
        <v>2400</v>
      </c>
      <c r="F94" s="21"/>
      <c r="G94" s="21">
        <v>2880</v>
      </c>
      <c r="I94" s="21">
        <v>2628</v>
      </c>
      <c r="K94" s="21">
        <v>2628</v>
      </c>
      <c r="M94" s="21"/>
      <c r="N94" s="35"/>
    </row>
    <row r="95" spans="2:14" x14ac:dyDescent="0.2">
      <c r="B95" s="5" t="s">
        <v>90</v>
      </c>
      <c r="C95">
        <v>0.75</v>
      </c>
      <c r="E95">
        <v>0.75</v>
      </c>
      <c r="G95">
        <v>0.75</v>
      </c>
      <c r="I95">
        <v>0.85</v>
      </c>
      <c r="K95">
        <v>0.85</v>
      </c>
      <c r="N95" s="31"/>
    </row>
    <row r="96" spans="2:14" x14ac:dyDescent="0.2">
      <c r="B96" s="5" t="s">
        <v>91</v>
      </c>
      <c r="C96">
        <v>40</v>
      </c>
      <c r="E96">
        <v>40</v>
      </c>
      <c r="G96">
        <v>360</v>
      </c>
      <c r="I96">
        <v>36</v>
      </c>
      <c r="K96">
        <v>36</v>
      </c>
      <c r="N96" s="31"/>
    </row>
    <row r="97" spans="2:14" x14ac:dyDescent="0.2">
      <c r="B97" s="5"/>
      <c r="N97" s="31"/>
    </row>
    <row r="98" spans="2:14" x14ac:dyDescent="0.2">
      <c r="B98" s="5"/>
      <c r="C98" t="s">
        <v>64</v>
      </c>
      <c r="E98" t="s">
        <v>64</v>
      </c>
      <c r="G98" t="s">
        <v>64</v>
      </c>
      <c r="I98" t="s">
        <v>64</v>
      </c>
      <c r="K98" t="s">
        <v>64</v>
      </c>
      <c r="N98" s="31"/>
    </row>
    <row r="99" spans="2:14" x14ac:dyDescent="0.2">
      <c r="B99" s="3" t="s">
        <v>65</v>
      </c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22"/>
    </row>
    <row r="100" spans="2:14" x14ac:dyDescent="0.2">
      <c r="B100" s="5" t="s">
        <v>66</v>
      </c>
      <c r="C100" s="20">
        <v>452.52</v>
      </c>
      <c r="D100" s="20"/>
      <c r="E100" s="20">
        <v>438.53</v>
      </c>
      <c r="F100" s="20"/>
      <c r="G100" s="23">
        <v>363.23</v>
      </c>
      <c r="I100" s="20">
        <v>449.47</v>
      </c>
      <c r="J100" s="20"/>
      <c r="K100" s="20">
        <v>463.64</v>
      </c>
      <c r="N100" s="24">
        <f>AVERAGE(C100:K100)</f>
        <v>433.47799999999995</v>
      </c>
    </row>
    <row r="101" spans="2:14" x14ac:dyDescent="0.2">
      <c r="B101" s="5" t="s">
        <v>67</v>
      </c>
      <c r="C101" s="20">
        <v>230.39</v>
      </c>
      <c r="D101" s="20"/>
      <c r="E101" s="20">
        <v>233.25</v>
      </c>
      <c r="F101" s="20"/>
      <c r="G101" s="23">
        <v>201.49</v>
      </c>
      <c r="I101" s="20">
        <v>142.72999999999999</v>
      </c>
      <c r="J101" s="20"/>
      <c r="K101" s="20">
        <v>182.17</v>
      </c>
      <c r="N101" s="24">
        <f t="shared" ref="N101:N103" si="28">AVERAGE(C101:K101)</f>
        <v>198.006</v>
      </c>
    </row>
    <row r="102" spans="2:14" x14ac:dyDescent="0.2">
      <c r="B102" s="5" t="s">
        <v>68</v>
      </c>
      <c r="C102" s="20">
        <v>30.91</v>
      </c>
      <c r="D102" s="20"/>
      <c r="E102" s="20">
        <v>24.91</v>
      </c>
      <c r="F102" s="20"/>
      <c r="G102" s="23">
        <v>3.19</v>
      </c>
      <c r="I102" s="20">
        <v>12.87</v>
      </c>
      <c r="J102" s="20"/>
      <c r="K102" s="20">
        <v>46.99</v>
      </c>
      <c r="N102" s="24">
        <f t="shared" si="28"/>
        <v>23.774000000000001</v>
      </c>
    </row>
    <row r="103" spans="2:14" x14ac:dyDescent="0.2">
      <c r="B103" s="6" t="s">
        <v>69</v>
      </c>
      <c r="C103" s="25">
        <v>713.81</v>
      </c>
      <c r="D103" s="25"/>
      <c r="E103" s="25">
        <v>696.69</v>
      </c>
      <c r="F103" s="25"/>
      <c r="G103" s="26">
        <v>567.91</v>
      </c>
      <c r="H103" s="15"/>
      <c r="I103" s="25">
        <v>605.07000000000005</v>
      </c>
      <c r="J103" s="25"/>
      <c r="K103" s="25">
        <v>692.8</v>
      </c>
      <c r="L103" s="15"/>
      <c r="M103" s="15"/>
      <c r="N103" s="24">
        <f t="shared" si="28"/>
        <v>655.25599999999997</v>
      </c>
    </row>
    <row r="104" spans="2:14" x14ac:dyDescent="0.2">
      <c r="B104" s="3" t="s">
        <v>70</v>
      </c>
      <c r="C104" s="28"/>
      <c r="D104" s="28"/>
      <c r="E104" s="28"/>
      <c r="F104" s="28"/>
      <c r="G104" s="28"/>
      <c r="H104" s="4"/>
      <c r="I104" s="28"/>
      <c r="J104" s="28"/>
      <c r="K104" s="28"/>
      <c r="L104" s="4"/>
      <c r="M104" s="4"/>
      <c r="N104" s="22"/>
    </row>
    <row r="105" spans="2:14" x14ac:dyDescent="0.2">
      <c r="B105" s="5" t="s">
        <v>66</v>
      </c>
      <c r="C105" s="20">
        <v>12.53</v>
      </c>
      <c r="D105" s="20"/>
      <c r="E105" s="20">
        <v>15.83</v>
      </c>
      <c r="F105" s="20"/>
      <c r="G105" s="23">
        <v>6.11</v>
      </c>
      <c r="I105" s="20">
        <v>45.88</v>
      </c>
      <c r="J105" s="20"/>
      <c r="K105" s="20">
        <v>41.18</v>
      </c>
      <c r="N105" s="24">
        <f>AVERAGE(C105:K105)</f>
        <v>24.306000000000001</v>
      </c>
    </row>
    <row r="106" spans="2:14" x14ac:dyDescent="0.2">
      <c r="B106" s="5" t="s">
        <v>67</v>
      </c>
      <c r="C106" s="20">
        <v>18.62</v>
      </c>
      <c r="D106" s="20"/>
      <c r="E106" s="20">
        <v>12.45</v>
      </c>
      <c r="F106" s="20"/>
      <c r="G106" s="23">
        <v>9.74</v>
      </c>
      <c r="I106" s="20">
        <v>33.159999999999997</v>
      </c>
      <c r="J106" s="20"/>
      <c r="K106" s="20">
        <v>32.020000000000003</v>
      </c>
      <c r="N106" s="24">
        <f t="shared" ref="N106:N108" si="29">AVERAGE(C106:K106)</f>
        <v>21.198</v>
      </c>
    </row>
    <row r="107" spans="2:14" x14ac:dyDescent="0.2">
      <c r="B107" s="5" t="s">
        <v>68</v>
      </c>
      <c r="C107" s="20">
        <v>38.96</v>
      </c>
      <c r="D107" s="20"/>
      <c r="E107" s="20">
        <v>45.1</v>
      </c>
      <c r="F107" s="20"/>
      <c r="G107" s="23">
        <v>7.09</v>
      </c>
      <c r="I107" s="20">
        <v>64.31</v>
      </c>
      <c r="J107" s="20"/>
      <c r="K107" s="20">
        <v>67.010000000000005</v>
      </c>
      <c r="N107" s="24">
        <f t="shared" si="29"/>
        <v>44.494000000000007</v>
      </c>
    </row>
    <row r="108" spans="2:14" x14ac:dyDescent="0.2">
      <c r="B108" s="6" t="s">
        <v>71</v>
      </c>
      <c r="C108" s="25">
        <v>70.099999999999994</v>
      </c>
      <c r="D108" s="25"/>
      <c r="E108" s="25">
        <v>73.37</v>
      </c>
      <c r="F108" s="25"/>
      <c r="G108" s="26">
        <v>22.95</v>
      </c>
      <c r="H108" s="15"/>
      <c r="I108" s="25">
        <v>143.35</v>
      </c>
      <c r="J108" s="25"/>
      <c r="K108" s="25">
        <v>140.22</v>
      </c>
      <c r="L108" s="15"/>
      <c r="M108" s="15"/>
      <c r="N108" s="24">
        <f t="shared" si="29"/>
        <v>89.998000000000005</v>
      </c>
    </row>
    <row r="109" spans="2:14" x14ac:dyDescent="0.2">
      <c r="B109" s="3" t="s">
        <v>72</v>
      </c>
      <c r="C109" s="28"/>
      <c r="D109" s="28"/>
      <c r="E109" s="28"/>
      <c r="F109" s="28"/>
      <c r="G109" s="28"/>
      <c r="H109" s="4"/>
      <c r="I109" s="28"/>
      <c r="J109" s="28"/>
      <c r="K109" s="28"/>
      <c r="L109" s="4"/>
      <c r="M109" s="4"/>
      <c r="N109" s="22"/>
    </row>
    <row r="110" spans="2:14" x14ac:dyDescent="0.2">
      <c r="B110" s="5" t="s">
        <v>66</v>
      </c>
      <c r="C110" s="20">
        <v>104.43</v>
      </c>
      <c r="D110" s="20"/>
      <c r="E110" s="20">
        <v>72.89</v>
      </c>
      <c r="F110" s="20"/>
      <c r="G110" s="23">
        <v>49.72</v>
      </c>
      <c r="I110" s="20">
        <v>64.81</v>
      </c>
      <c r="J110" s="20"/>
      <c r="K110" s="20">
        <v>64.55</v>
      </c>
      <c r="N110" s="24">
        <f>AVERAGE(C110:K110)</f>
        <v>71.28</v>
      </c>
    </row>
    <row r="111" spans="2:14" x14ac:dyDescent="0.2">
      <c r="B111" s="5" t="s">
        <v>67</v>
      </c>
      <c r="C111" s="20">
        <v>16.829999999999998</v>
      </c>
      <c r="D111" s="20"/>
      <c r="E111" s="20">
        <v>11.69</v>
      </c>
      <c r="F111" s="20"/>
      <c r="G111" s="23">
        <v>18.87</v>
      </c>
      <c r="I111" s="20">
        <v>16.670000000000002</v>
      </c>
      <c r="J111" s="20"/>
      <c r="K111" s="20">
        <v>17.04</v>
      </c>
      <c r="N111" s="24">
        <f t="shared" ref="N111:N114" si="30">AVERAGE(C111:K111)</f>
        <v>16.22</v>
      </c>
    </row>
    <row r="112" spans="2:14" x14ac:dyDescent="0.2">
      <c r="B112" s="5" t="s">
        <v>68</v>
      </c>
      <c r="C112" s="20">
        <v>0</v>
      </c>
      <c r="D112" s="20"/>
      <c r="E112" s="20">
        <v>0</v>
      </c>
      <c r="F112" s="20"/>
      <c r="G112" s="23">
        <v>133.25</v>
      </c>
      <c r="I112" s="20">
        <v>9.1999999999999993</v>
      </c>
      <c r="J112" s="20"/>
      <c r="K112" s="20">
        <v>8.4700000000000006</v>
      </c>
      <c r="N112" s="24">
        <f t="shared" si="30"/>
        <v>30.183999999999997</v>
      </c>
    </row>
    <row r="113" spans="2:14" x14ac:dyDescent="0.2">
      <c r="B113" s="6" t="s">
        <v>73</v>
      </c>
      <c r="C113" s="25">
        <v>121.26</v>
      </c>
      <c r="D113" s="25"/>
      <c r="E113" s="25">
        <v>84.57</v>
      </c>
      <c r="F113" s="25"/>
      <c r="G113" s="26">
        <v>201.85</v>
      </c>
      <c r="H113" s="15"/>
      <c r="I113" s="25">
        <v>90.67</v>
      </c>
      <c r="J113" s="25"/>
      <c r="K113" s="25">
        <v>90.06</v>
      </c>
      <c r="L113" s="15"/>
      <c r="M113" s="15"/>
      <c r="N113" s="27">
        <f t="shared" si="30"/>
        <v>117.68199999999999</v>
      </c>
    </row>
    <row r="114" spans="2:14" x14ac:dyDescent="0.2">
      <c r="B114" s="5" t="s">
        <v>40</v>
      </c>
      <c r="C114" s="20">
        <v>905.17</v>
      </c>
      <c r="D114" s="20"/>
      <c r="E114" s="20">
        <v>854.63000000000011</v>
      </c>
      <c r="F114" s="20"/>
      <c r="G114" s="23">
        <v>792.71</v>
      </c>
      <c r="I114" s="20">
        <v>839.09</v>
      </c>
      <c r="J114" s="20"/>
      <c r="K114" s="20">
        <v>923.07999999999993</v>
      </c>
      <c r="N114" s="24">
        <f t="shared" si="30"/>
        <v>862.93600000000004</v>
      </c>
    </row>
    <row r="115" spans="2:14" x14ac:dyDescent="0.2">
      <c r="B115" s="5"/>
      <c r="C115" s="20"/>
      <c r="D115" s="20"/>
      <c r="E115" s="20"/>
      <c r="F115" s="20"/>
      <c r="G115" s="23"/>
      <c r="N115" s="31"/>
    </row>
    <row r="116" spans="2:14" x14ac:dyDescent="0.2">
      <c r="B116" s="5" t="s">
        <v>74</v>
      </c>
      <c r="C116" s="36">
        <f>+C114*C94</f>
        <v>1122410.8</v>
      </c>
      <c r="D116" s="20"/>
      <c r="E116" s="36">
        <f>+E114*E94</f>
        <v>2051112.0000000002</v>
      </c>
      <c r="F116" s="20"/>
      <c r="G116" s="36">
        <f>+G114*G94</f>
        <v>2283004.8000000003</v>
      </c>
      <c r="I116" s="36">
        <f>+I114*I94</f>
        <v>2205128.52</v>
      </c>
      <c r="K116" s="36">
        <f>+K114*K94</f>
        <v>2425854.2399999998</v>
      </c>
      <c r="N116" s="31"/>
    </row>
    <row r="117" spans="2:14" x14ac:dyDescent="0.2">
      <c r="B117" s="6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34"/>
    </row>
    <row r="118" spans="2:14" x14ac:dyDescent="0.2">
      <c r="B118" s="3" t="s">
        <v>40</v>
      </c>
      <c r="C118" s="29"/>
      <c r="D118" s="4"/>
      <c r="E118" s="29"/>
      <c r="F118" s="4"/>
      <c r="G118" s="29"/>
      <c r="H118" s="4"/>
      <c r="I118" s="29"/>
      <c r="J118" s="4"/>
      <c r="K118" s="4"/>
      <c r="L118" s="4"/>
      <c r="M118" s="4"/>
      <c r="N118" s="22"/>
    </row>
    <row r="119" spans="2:14" x14ac:dyDescent="0.2">
      <c r="B119" s="5" t="s">
        <v>66</v>
      </c>
      <c r="C119" s="20">
        <f>+C100+C105+C110</f>
        <v>569.48</v>
      </c>
      <c r="E119" s="20">
        <f>+E100+E105+E110</f>
        <v>527.25</v>
      </c>
      <c r="G119" s="20">
        <f>+G100+G105+G110</f>
        <v>419.06000000000006</v>
      </c>
      <c r="I119" s="20">
        <f>+I100+I105+I110</f>
        <v>560.16000000000008</v>
      </c>
      <c r="K119" s="20">
        <f>+K100+K105+K110</f>
        <v>569.37</v>
      </c>
      <c r="N119" s="24">
        <f>+N100+N105+N110</f>
        <v>529.06399999999996</v>
      </c>
    </row>
    <row r="120" spans="2:14" x14ac:dyDescent="0.2">
      <c r="B120" s="5" t="s">
        <v>67</v>
      </c>
      <c r="C120" s="20">
        <f t="shared" ref="C120:C121" si="31">+C101+C106+C111</f>
        <v>265.83999999999997</v>
      </c>
      <c r="E120" s="20">
        <f t="shared" ref="E120:E121" si="32">+E101+E106+E111</f>
        <v>257.39</v>
      </c>
      <c r="G120" s="20">
        <f t="shared" ref="G120" si="33">+G101+G106+G111</f>
        <v>230.10000000000002</v>
      </c>
      <c r="I120" s="20">
        <f t="shared" ref="I120" si="34">+I101+I106+I111</f>
        <v>192.56</v>
      </c>
      <c r="K120" s="20">
        <f t="shared" ref="K120:K121" si="35">+K101+K106+K111</f>
        <v>231.23</v>
      </c>
      <c r="N120" s="24">
        <f t="shared" ref="N120:N121" si="36">+N101+N106+N111</f>
        <v>235.42400000000001</v>
      </c>
    </row>
    <row r="121" spans="2:14" x14ac:dyDescent="0.2">
      <c r="B121" s="5" t="s">
        <v>68</v>
      </c>
      <c r="C121" s="20">
        <f t="shared" si="31"/>
        <v>69.87</v>
      </c>
      <c r="E121" s="20">
        <f t="shared" si="32"/>
        <v>70.010000000000005</v>
      </c>
      <c r="G121" s="20">
        <f t="shared" ref="G121" si="37">+G102+G107+G112</f>
        <v>143.53</v>
      </c>
      <c r="I121" s="20">
        <f t="shared" ref="I121" si="38">+I102+I107+I112</f>
        <v>86.38000000000001</v>
      </c>
      <c r="K121" s="20">
        <f t="shared" si="35"/>
        <v>122.47</v>
      </c>
      <c r="N121" s="24">
        <f t="shared" si="36"/>
        <v>98.451999999999998</v>
      </c>
    </row>
    <row r="122" spans="2:14" x14ac:dyDescent="0.2">
      <c r="B122" s="6" t="s">
        <v>101</v>
      </c>
      <c r="C122" s="37">
        <f>SUM(C119:C121)</f>
        <v>905.18999999999994</v>
      </c>
      <c r="D122" s="15"/>
      <c r="E122" s="37">
        <f>SUM(E119:E121)</f>
        <v>854.65</v>
      </c>
      <c r="F122" s="15"/>
      <c r="G122" s="37">
        <f>SUM(G119:G121)</f>
        <v>792.69</v>
      </c>
      <c r="H122" s="15"/>
      <c r="I122" s="37">
        <f>SUM(I119:I121)</f>
        <v>839.1</v>
      </c>
      <c r="J122" s="15"/>
      <c r="K122" s="37">
        <f>SUM(K119:K121)</f>
        <v>923.07</v>
      </c>
      <c r="L122" s="15"/>
      <c r="M122" s="15"/>
      <c r="N122" s="39">
        <f>SUM(N119:N121)</f>
        <v>862.93999999999994</v>
      </c>
    </row>
    <row r="124" spans="2:14" x14ac:dyDescent="0.2">
      <c r="B124" t="s">
        <v>102</v>
      </c>
      <c r="F124">
        <v>650</v>
      </c>
      <c r="G124" t="s">
        <v>103</v>
      </c>
    </row>
    <row r="125" spans="2:14" x14ac:dyDescent="0.2">
      <c r="B125" t="s">
        <v>104</v>
      </c>
      <c r="F125" s="1">
        <f>+F124/N122</f>
        <v>0.75323892738776743</v>
      </c>
    </row>
    <row r="127" spans="2:14" x14ac:dyDescent="0.2">
      <c r="B127" t="s">
        <v>105</v>
      </c>
      <c r="F127" s="176">
        <v>0.9</v>
      </c>
      <c r="G127" t="s">
        <v>79</v>
      </c>
    </row>
    <row r="129" spans="2:7" x14ac:dyDescent="0.2">
      <c r="B129" s="143" t="s">
        <v>80</v>
      </c>
      <c r="C129" s="144"/>
      <c r="D129" s="144"/>
      <c r="E129" s="144"/>
      <c r="F129" s="145">
        <f>ROUNDUP(N119*$F$127,0)</f>
        <v>477</v>
      </c>
      <c r="G129" s="146" t="s">
        <v>103</v>
      </c>
    </row>
    <row r="130" spans="2:7" x14ac:dyDescent="0.2">
      <c r="B130" s="147" t="s">
        <v>81</v>
      </c>
      <c r="C130" s="148"/>
      <c r="D130" s="148"/>
      <c r="E130" s="148"/>
      <c r="F130" s="149">
        <f>ROUNDUP(N120*$F$127,0)</f>
        <v>212</v>
      </c>
      <c r="G130" s="150" t="s">
        <v>103</v>
      </c>
    </row>
    <row r="131" spans="2:7" x14ac:dyDescent="0.2">
      <c r="B131" s="151" t="s">
        <v>82</v>
      </c>
      <c r="C131" s="152"/>
      <c r="D131" s="152"/>
      <c r="E131" s="152"/>
      <c r="F131" s="153">
        <f>ROUNDUP(N121*$F$127,0)</f>
        <v>89</v>
      </c>
      <c r="G131" s="154" t="s">
        <v>103</v>
      </c>
    </row>
    <row r="132" spans="2:7" x14ac:dyDescent="0.2">
      <c r="B132" s="155" t="s">
        <v>83</v>
      </c>
      <c r="C132" s="156"/>
      <c r="D132" s="156"/>
      <c r="E132" s="156"/>
      <c r="F132" s="157">
        <f>SUM(F129:F131)</f>
        <v>778</v>
      </c>
      <c r="G132" s="158" t="s">
        <v>103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3F16D-EAEE-4DC8-8C24-35CEA498126F}">
  <dimension ref="A1:N42"/>
  <sheetViews>
    <sheetView workbookViewId="0">
      <selection activeCell="E24" sqref="E24"/>
    </sheetView>
  </sheetViews>
  <sheetFormatPr baseColWidth="10" defaultColWidth="9.1640625" defaultRowHeight="15" x14ac:dyDescent="0.2"/>
  <cols>
    <col min="1" max="1" width="23.1640625" style="40" customWidth="1"/>
    <col min="2" max="2" width="15.33203125" style="40" customWidth="1"/>
    <col min="3" max="3" width="15.6640625" style="40" customWidth="1"/>
    <col min="4" max="4" width="13.33203125" style="40" customWidth="1"/>
    <col min="5" max="5" width="15.1640625" style="40" bestFit="1" customWidth="1"/>
    <col min="6" max="6" width="12.33203125" style="40" bestFit="1" customWidth="1"/>
    <col min="7" max="7" width="14" style="40" customWidth="1"/>
    <col min="8" max="8" width="9.1640625" style="40"/>
    <col min="9" max="9" width="10.33203125" style="40" bestFit="1" customWidth="1"/>
    <col min="10" max="13" width="9.1640625" style="40"/>
    <col min="14" max="14" width="12.6640625" style="40" bestFit="1" customWidth="1"/>
    <col min="15" max="16384" width="9.1640625" style="40"/>
  </cols>
  <sheetData>
    <row r="1" spans="1:14" x14ac:dyDescent="0.2">
      <c r="A1" s="204"/>
    </row>
    <row r="4" spans="1:14" x14ac:dyDescent="0.2">
      <c r="A4" s="47" t="s">
        <v>106</v>
      </c>
      <c r="B4" s="48" t="s">
        <v>107</v>
      </c>
      <c r="C4" s="49" t="s">
        <v>108</v>
      </c>
    </row>
    <row r="5" spans="1:14" x14ac:dyDescent="0.2">
      <c r="A5" s="50">
        <v>1320000</v>
      </c>
      <c r="B5" s="51">
        <v>40</v>
      </c>
      <c r="C5" s="52">
        <f>+B5*A5</f>
        <v>52800000</v>
      </c>
      <c r="H5" s="65" t="s">
        <v>109</v>
      </c>
      <c r="I5" s="65" t="s">
        <v>110</v>
      </c>
      <c r="J5" s="65" t="s">
        <v>111</v>
      </c>
      <c r="N5" s="60"/>
    </row>
    <row r="6" spans="1:14" x14ac:dyDescent="0.2">
      <c r="H6" s="173">
        <v>115</v>
      </c>
      <c r="I6" s="174">
        <v>0.72</v>
      </c>
      <c r="J6" s="66">
        <f>+H6*I6</f>
        <v>82.8</v>
      </c>
    </row>
    <row r="7" spans="1:14" x14ac:dyDescent="0.2">
      <c r="A7" s="47" t="s">
        <v>112</v>
      </c>
      <c r="B7" s="170">
        <v>82</v>
      </c>
      <c r="C7" s="49" t="s">
        <v>113</v>
      </c>
    </row>
    <row r="8" spans="1:14" x14ac:dyDescent="0.2">
      <c r="A8" s="53" t="s">
        <v>114</v>
      </c>
      <c r="B8" s="51">
        <f>+C5/B7</f>
        <v>643902.43902439019</v>
      </c>
      <c r="C8" s="54" t="s">
        <v>115</v>
      </c>
    </row>
    <row r="10" spans="1:14" x14ac:dyDescent="0.2">
      <c r="A10" s="40" t="s">
        <v>116</v>
      </c>
    </row>
    <row r="11" spans="1:14" x14ac:dyDescent="0.2">
      <c r="A11" s="186" t="s">
        <v>117</v>
      </c>
      <c r="B11" s="67"/>
      <c r="C11" s="67"/>
      <c r="D11" s="68"/>
    </row>
    <row r="12" spans="1:14" x14ac:dyDescent="0.2">
      <c r="A12" s="69" t="s">
        <v>118</v>
      </c>
      <c r="B12" s="70">
        <v>27</v>
      </c>
      <c r="C12" s="71" t="s">
        <v>119</v>
      </c>
      <c r="D12" s="72"/>
    </row>
    <row r="13" spans="1:14" x14ac:dyDescent="0.2">
      <c r="A13" s="182" t="s">
        <v>120</v>
      </c>
      <c r="B13" s="183">
        <v>28</v>
      </c>
      <c r="C13" s="184" t="s">
        <v>121</v>
      </c>
      <c r="D13" s="185"/>
    </row>
    <row r="14" spans="1:14" x14ac:dyDescent="0.2">
      <c r="A14" s="47"/>
      <c r="B14" s="56"/>
      <c r="C14" s="48"/>
      <c r="D14" s="49"/>
    </row>
    <row r="15" spans="1:14" x14ac:dyDescent="0.2">
      <c r="A15" s="73" t="s">
        <v>122</v>
      </c>
      <c r="D15" s="58"/>
    </row>
    <row r="16" spans="1:14" x14ac:dyDescent="0.2">
      <c r="A16" s="53" t="s">
        <v>118</v>
      </c>
      <c r="B16" s="171">
        <v>32</v>
      </c>
      <c r="C16" s="55" t="s">
        <v>119</v>
      </c>
      <c r="D16" s="54"/>
      <c r="E16" s="199"/>
      <c r="H16" s="46">
        <v>0.02</v>
      </c>
      <c r="I16" s="44">
        <f>+B16/(1-H16)</f>
        <v>32.653061224489797</v>
      </c>
      <c r="N16" s="46"/>
    </row>
    <row r="17" spans="1:14" x14ac:dyDescent="0.2">
      <c r="H17" s="46">
        <v>0.03</v>
      </c>
      <c r="I17" s="44">
        <f>+I16/(1-H17)</f>
        <v>33.662949715968864</v>
      </c>
      <c r="N17" s="44"/>
    </row>
    <row r="18" spans="1:14" x14ac:dyDescent="0.2">
      <c r="A18" s="47" t="s">
        <v>123</v>
      </c>
      <c r="B18" s="48"/>
      <c r="C18" s="48"/>
      <c r="D18" s="187"/>
      <c r="N18" s="46"/>
    </row>
    <row r="19" spans="1:14" x14ac:dyDescent="0.2">
      <c r="A19" s="53" t="s">
        <v>124</v>
      </c>
      <c r="B19" s="51">
        <f>ROUNDUP(B8/B16,-2)</f>
        <v>20200</v>
      </c>
      <c r="C19" s="55" t="s">
        <v>115</v>
      </c>
      <c r="D19" s="52"/>
      <c r="G19" s="159" t="s">
        <v>125</v>
      </c>
      <c r="H19" s="160">
        <v>0.4</v>
      </c>
      <c r="I19" s="161">
        <f>+H19*B19</f>
        <v>8080</v>
      </c>
      <c r="J19" s="175">
        <f>+I19/B19</f>
        <v>0.4</v>
      </c>
      <c r="N19" s="44"/>
    </row>
    <row r="21" spans="1:14" x14ac:dyDescent="0.2">
      <c r="A21" s="47" t="s">
        <v>126</v>
      </c>
      <c r="B21" s="172">
        <v>1</v>
      </c>
      <c r="C21" s="206">
        <v>1.1000000000000001</v>
      </c>
      <c r="D21" s="206">
        <v>0.7</v>
      </c>
      <c r="E21" s="188">
        <v>0.4</v>
      </c>
      <c r="I21" s="166">
        <f>+J19+I17</f>
        <v>34.062949715968863</v>
      </c>
      <c r="J21" s="159" t="s">
        <v>127</v>
      </c>
      <c r="K21" s="159"/>
      <c r="L21" s="159"/>
    </row>
    <row r="22" spans="1:14" x14ac:dyDescent="0.2">
      <c r="A22" s="73" t="s">
        <v>124</v>
      </c>
      <c r="B22" s="161">
        <f>ROUNDUP(B19*B21,-2)</f>
        <v>20200</v>
      </c>
      <c r="C22" s="161">
        <f>ROUNDUP(B19*C21,-2)</f>
        <v>22300</v>
      </c>
      <c r="D22" s="60">
        <f>D21*B22/B21</f>
        <v>14140</v>
      </c>
      <c r="E22" s="207">
        <f>E21*B22/B21</f>
        <v>8080</v>
      </c>
      <c r="F22" s="159" t="s">
        <v>115</v>
      </c>
    </row>
    <row r="23" spans="1:14" x14ac:dyDescent="0.2">
      <c r="A23" s="57" t="s">
        <v>128</v>
      </c>
      <c r="B23" s="205">
        <f>B22*Emisetoodang!K34</f>
        <v>52872287.999999985</v>
      </c>
      <c r="C23" s="205">
        <f>C22*Emisetoodang!$K$34</f>
        <v>58368911.999999978</v>
      </c>
      <c r="D23" s="205">
        <f>D22*Emisetoodang!$K$34</f>
        <v>37010601.599999987</v>
      </c>
      <c r="E23" s="205">
        <f>E22*Emisetoodang!$K$34</f>
        <v>21148915.199999992</v>
      </c>
    </row>
    <row r="24" spans="1:14" ht="32" x14ac:dyDescent="0.2">
      <c r="A24" s="209" t="s">
        <v>129</v>
      </c>
      <c r="B24" s="208">
        <f>($B$23-B23)*2.7/1000</f>
        <v>0</v>
      </c>
      <c r="C24" s="208">
        <f>(C23-B$23)*2.7/1000</f>
        <v>14840.88479999998</v>
      </c>
      <c r="D24" s="208">
        <f>($B$23-D23)*2.7/1000</f>
        <v>42826.55328</v>
      </c>
      <c r="E24" s="208">
        <f>($B$23-E23)*2.7/1000</f>
        <v>85653.106559999986</v>
      </c>
    </row>
    <row r="26" spans="1:14" x14ac:dyDescent="0.2">
      <c r="A26" s="40" t="s">
        <v>130</v>
      </c>
    </row>
    <row r="27" spans="1:14" x14ac:dyDescent="0.2">
      <c r="A27" s="47" t="s">
        <v>131</v>
      </c>
      <c r="B27" s="48"/>
      <c r="C27" s="48"/>
      <c r="D27" s="172">
        <v>0.02</v>
      </c>
      <c r="E27" s="49"/>
    </row>
    <row r="28" spans="1:14" x14ac:dyDescent="0.2">
      <c r="A28" s="57" t="s">
        <v>132</v>
      </c>
      <c r="D28" s="60">
        <f>B16*(1+D27)</f>
        <v>32.64</v>
      </c>
      <c r="E28" s="58" t="s">
        <v>133</v>
      </c>
    </row>
    <row r="29" spans="1:14" x14ac:dyDescent="0.2">
      <c r="A29" s="53" t="s">
        <v>134</v>
      </c>
      <c r="B29" s="55"/>
      <c r="C29" s="55"/>
      <c r="D29" s="59">
        <f>ROUNDUP(D28*B22/3.2,-3)</f>
        <v>207000</v>
      </c>
      <c r="E29" s="54" t="s">
        <v>115</v>
      </c>
      <c r="H29" s="40">
        <v>3.2</v>
      </c>
      <c r="I29" s="40">
        <f>+D29*H29</f>
        <v>662400</v>
      </c>
      <c r="J29" s="40">
        <f>+I29*(1-D27)</f>
        <v>649152</v>
      </c>
      <c r="M29" s="45">
        <f>+D29/B22</f>
        <v>10.247524752475247</v>
      </c>
    </row>
    <row r="30" spans="1:14" x14ac:dyDescent="0.2">
      <c r="D30" s="44"/>
    </row>
    <row r="31" spans="1:14" x14ac:dyDescent="0.2">
      <c r="A31" s="40" t="s">
        <v>135</v>
      </c>
      <c r="D31" s="44"/>
    </row>
    <row r="32" spans="1:14" x14ac:dyDescent="0.2">
      <c r="A32" s="47" t="s">
        <v>136</v>
      </c>
      <c r="B32" s="48"/>
      <c r="C32" s="48"/>
      <c r="D32" s="172">
        <v>0.03</v>
      </c>
      <c r="E32" s="49"/>
    </row>
    <row r="33" spans="1:13" x14ac:dyDescent="0.2">
      <c r="A33" s="57" t="s">
        <v>137</v>
      </c>
      <c r="D33" s="60">
        <f>+D28*(1+D32)</f>
        <v>33.619199999999999</v>
      </c>
      <c r="E33" s="58" t="s">
        <v>133</v>
      </c>
    </row>
    <row r="34" spans="1:13" x14ac:dyDescent="0.2">
      <c r="A34" s="53" t="s">
        <v>138</v>
      </c>
      <c r="B34" s="55"/>
      <c r="C34" s="55"/>
      <c r="D34" s="59">
        <f>ROUNDUP(B19*D33/6.4,-3)</f>
        <v>107000</v>
      </c>
      <c r="E34" s="54" t="s">
        <v>115</v>
      </c>
      <c r="H34" s="40">
        <v>6.4</v>
      </c>
      <c r="I34" s="40">
        <f>+D34*H34</f>
        <v>684800</v>
      </c>
      <c r="J34" s="40">
        <f>I34*(1-D32)</f>
        <v>664256</v>
      </c>
      <c r="M34" s="45">
        <f>+D34/B22</f>
        <v>5.2970297029702973</v>
      </c>
    </row>
    <row r="36" spans="1:13" x14ac:dyDescent="0.2">
      <c r="A36" s="61" t="s">
        <v>139</v>
      </c>
      <c r="B36" s="62"/>
      <c r="C36" s="62"/>
      <c r="D36" s="63">
        <f>+D34+D29+B22</f>
        <v>334200</v>
      </c>
      <c r="E36" s="64" t="s">
        <v>140</v>
      </c>
    </row>
    <row r="38" spans="1:13" x14ac:dyDescent="0.2">
      <c r="D38" s="60"/>
    </row>
    <row r="39" spans="1:13" x14ac:dyDescent="0.2">
      <c r="A39" s="40">
        <v>115</v>
      </c>
      <c r="B39" s="40" t="s">
        <v>113</v>
      </c>
      <c r="C39" s="40">
        <v>100</v>
      </c>
      <c r="D39" s="40">
        <v>5</v>
      </c>
    </row>
    <row r="40" spans="1:13" x14ac:dyDescent="0.2">
      <c r="A40" s="40">
        <v>82</v>
      </c>
      <c r="B40" s="40" t="s">
        <v>113</v>
      </c>
      <c r="C40" s="181">
        <f>A40*C39/A39</f>
        <v>71.304347826086953</v>
      </c>
      <c r="D40" s="40" t="s">
        <v>141</v>
      </c>
    </row>
    <row r="41" spans="1:13" x14ac:dyDescent="0.2">
      <c r="D41" s="167"/>
    </row>
    <row r="42" spans="1:13" x14ac:dyDescent="0.2">
      <c r="D42" s="60"/>
      <c r="E42" s="4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99B47-B4C5-4420-88DD-471D3F769F66}">
  <dimension ref="A1:Q36"/>
  <sheetViews>
    <sheetView topLeftCell="A6" zoomScale="85" zoomScaleNormal="85" workbookViewId="0">
      <selection activeCell="B33" sqref="B33"/>
    </sheetView>
  </sheetViews>
  <sheetFormatPr baseColWidth="10" defaultColWidth="8.83203125" defaultRowHeight="15" x14ac:dyDescent="0.2"/>
  <cols>
    <col min="1" max="1" width="15.33203125" bestFit="1" customWidth="1"/>
    <col min="2" max="2" width="5.83203125" bestFit="1" customWidth="1"/>
    <col min="3" max="3" width="11.5" bestFit="1" customWidth="1"/>
    <col min="4" max="5" width="12.6640625" bestFit="1" customWidth="1"/>
    <col min="6" max="6" width="18.5" bestFit="1" customWidth="1"/>
    <col min="7" max="7" width="13.33203125" bestFit="1" customWidth="1"/>
    <col min="8" max="8" width="22.1640625" bestFit="1" customWidth="1"/>
    <col min="9" max="9" width="10.6640625" bestFit="1" customWidth="1"/>
    <col min="10" max="11" width="20.33203125" bestFit="1" customWidth="1"/>
    <col min="12" max="12" width="19.1640625" bestFit="1" customWidth="1"/>
    <col min="13" max="15" width="16.6640625" customWidth="1"/>
  </cols>
  <sheetData>
    <row r="1" spans="2:17" x14ac:dyDescent="0.2">
      <c r="B1" t="s">
        <v>142</v>
      </c>
      <c r="C1" t="s">
        <v>143</v>
      </c>
      <c r="D1" t="s">
        <v>144</v>
      </c>
      <c r="E1" s="194" t="s">
        <v>145</v>
      </c>
      <c r="F1" s="194" t="s">
        <v>146</v>
      </c>
      <c r="G1" t="s">
        <v>147</v>
      </c>
      <c r="H1" t="s">
        <v>148</v>
      </c>
      <c r="I1" t="s">
        <v>149</v>
      </c>
      <c r="J1" t="s">
        <v>150</v>
      </c>
      <c r="K1" t="s">
        <v>151</v>
      </c>
    </row>
    <row r="2" spans="2:17" x14ac:dyDescent="0.2">
      <c r="B2">
        <v>2001</v>
      </c>
      <c r="C2">
        <v>1.94</v>
      </c>
      <c r="D2">
        <v>8.6</v>
      </c>
      <c r="E2" s="194">
        <v>5</v>
      </c>
      <c r="F2" s="194">
        <v>82</v>
      </c>
      <c r="G2" s="38">
        <f t="shared" ref="G2:G34" si="0">D2-D2*E2/100</f>
        <v>8.17</v>
      </c>
      <c r="H2" s="201">
        <f t="shared" ref="H2:H13" si="1">G2*C2</f>
        <v>15.8498</v>
      </c>
      <c r="I2" s="20">
        <f t="shared" ref="I2:I24" si="2">F2*H2</f>
        <v>1299.6836000000001</v>
      </c>
      <c r="J2" s="38"/>
      <c r="K2" s="38"/>
      <c r="Q2" s="20"/>
    </row>
    <row r="3" spans="2:17" x14ac:dyDescent="0.2">
      <c r="B3">
        <v>2003</v>
      </c>
      <c r="C3">
        <v>2</v>
      </c>
      <c r="D3">
        <v>9</v>
      </c>
      <c r="E3" s="194">
        <v>5</v>
      </c>
      <c r="F3" s="194">
        <v>82</v>
      </c>
      <c r="G3" s="38">
        <f t="shared" si="0"/>
        <v>8.5500000000000007</v>
      </c>
      <c r="H3" s="201">
        <f t="shared" si="1"/>
        <v>17.100000000000001</v>
      </c>
      <c r="I3" s="20">
        <f t="shared" si="2"/>
        <v>1402.2</v>
      </c>
      <c r="J3" s="38"/>
      <c r="K3" s="38"/>
      <c r="Q3" s="20"/>
    </row>
    <row r="4" spans="2:17" x14ac:dyDescent="0.2">
      <c r="B4">
        <v>2004</v>
      </c>
      <c r="C4">
        <v>2.2000000000000002</v>
      </c>
      <c r="D4">
        <v>9.1999999999999993</v>
      </c>
      <c r="E4" s="194">
        <v>5</v>
      </c>
      <c r="F4" s="194">
        <v>82</v>
      </c>
      <c r="G4" s="38">
        <f t="shared" si="0"/>
        <v>8.7399999999999984</v>
      </c>
      <c r="H4" s="201">
        <f t="shared" si="1"/>
        <v>19.227999999999998</v>
      </c>
      <c r="I4" s="20">
        <f t="shared" si="2"/>
        <v>1576.6959999999999</v>
      </c>
      <c r="J4" s="38"/>
      <c r="K4" s="38"/>
      <c r="Q4" s="20"/>
    </row>
    <row r="5" spans="2:17" x14ac:dyDescent="0.2">
      <c r="B5">
        <v>2005</v>
      </c>
      <c r="C5">
        <v>2.1</v>
      </c>
      <c r="D5">
        <v>9.4</v>
      </c>
      <c r="E5" s="194">
        <v>5</v>
      </c>
      <c r="F5" s="194">
        <v>82</v>
      </c>
      <c r="G5" s="38">
        <f t="shared" si="0"/>
        <v>8.93</v>
      </c>
      <c r="H5" s="201">
        <f t="shared" si="1"/>
        <v>18.753</v>
      </c>
      <c r="I5" s="20">
        <f t="shared" si="2"/>
        <v>1537.7460000000001</v>
      </c>
      <c r="J5" s="38"/>
      <c r="K5" s="38"/>
      <c r="Q5" s="20"/>
    </row>
    <row r="6" spans="2:17" x14ac:dyDescent="0.2">
      <c r="B6">
        <v>2006</v>
      </c>
      <c r="C6">
        <v>2.1</v>
      </c>
      <c r="D6">
        <v>9.3000000000000007</v>
      </c>
      <c r="E6" s="194">
        <v>5</v>
      </c>
      <c r="F6" s="194">
        <v>82</v>
      </c>
      <c r="G6" s="38">
        <f t="shared" si="0"/>
        <v>8.8350000000000009</v>
      </c>
      <c r="H6" s="201">
        <f t="shared" si="1"/>
        <v>18.553500000000003</v>
      </c>
      <c r="I6" s="20">
        <f t="shared" si="2"/>
        <v>1521.3870000000002</v>
      </c>
      <c r="J6" s="38"/>
      <c r="K6" s="38"/>
      <c r="Q6" s="20"/>
    </row>
    <row r="7" spans="2:17" x14ac:dyDescent="0.2">
      <c r="B7">
        <v>2007</v>
      </c>
      <c r="C7">
        <v>2.1</v>
      </c>
      <c r="D7">
        <v>9.3000000000000007</v>
      </c>
      <c r="E7" s="194">
        <v>5</v>
      </c>
      <c r="F7" s="194">
        <v>82</v>
      </c>
      <c r="G7" s="38">
        <f t="shared" si="0"/>
        <v>8.8350000000000009</v>
      </c>
      <c r="H7" s="201">
        <f t="shared" si="1"/>
        <v>18.553500000000003</v>
      </c>
      <c r="I7" s="20">
        <f t="shared" si="2"/>
        <v>1521.3870000000002</v>
      </c>
      <c r="J7" s="38"/>
      <c r="K7" s="38"/>
      <c r="Q7" s="20"/>
    </row>
    <row r="8" spans="2:17" x14ac:dyDescent="0.2">
      <c r="B8">
        <v>2008</v>
      </c>
      <c r="C8">
        <v>2.1</v>
      </c>
      <c r="D8">
        <v>9.4</v>
      </c>
      <c r="E8" s="194">
        <v>5</v>
      </c>
      <c r="F8" s="194">
        <v>82</v>
      </c>
      <c r="G8" s="38">
        <f t="shared" si="0"/>
        <v>8.93</v>
      </c>
      <c r="H8" s="201">
        <f t="shared" si="1"/>
        <v>18.753</v>
      </c>
      <c r="I8" s="20">
        <f t="shared" si="2"/>
        <v>1537.7460000000001</v>
      </c>
      <c r="J8" s="38"/>
      <c r="K8" s="38"/>
      <c r="Q8" s="20"/>
    </row>
    <row r="9" spans="2:17" x14ac:dyDescent="0.2">
      <c r="B9">
        <v>2009</v>
      </c>
      <c r="C9">
        <v>2.1</v>
      </c>
      <c r="D9">
        <v>9.5</v>
      </c>
      <c r="E9" s="194">
        <v>5</v>
      </c>
      <c r="F9" s="194">
        <v>82</v>
      </c>
      <c r="G9" s="38">
        <f t="shared" si="0"/>
        <v>9.0250000000000004</v>
      </c>
      <c r="H9" s="201">
        <f t="shared" si="1"/>
        <v>18.952500000000001</v>
      </c>
      <c r="I9" s="20">
        <f t="shared" si="2"/>
        <v>1554.105</v>
      </c>
      <c r="J9" s="38"/>
      <c r="K9" s="38"/>
      <c r="Q9" s="20"/>
    </row>
    <row r="10" spans="2:17" x14ac:dyDescent="0.2">
      <c r="B10">
        <v>2010</v>
      </c>
      <c r="C10">
        <v>2.1</v>
      </c>
      <c r="D10">
        <v>9.6999999999999993</v>
      </c>
      <c r="E10" s="194">
        <v>5</v>
      </c>
      <c r="F10" s="194">
        <v>82</v>
      </c>
      <c r="G10" s="38">
        <f t="shared" si="0"/>
        <v>9.2149999999999999</v>
      </c>
      <c r="H10" s="201">
        <f t="shared" si="1"/>
        <v>19.351500000000001</v>
      </c>
      <c r="I10" s="20">
        <f t="shared" si="2"/>
        <v>1586.8230000000001</v>
      </c>
      <c r="J10" s="38"/>
      <c r="K10" s="38"/>
      <c r="Q10" s="20"/>
    </row>
    <row r="11" spans="2:17" x14ac:dyDescent="0.2">
      <c r="B11">
        <v>2011</v>
      </c>
      <c r="C11">
        <v>2.2000000000000002</v>
      </c>
      <c r="D11">
        <v>10</v>
      </c>
      <c r="E11" s="194">
        <v>5</v>
      </c>
      <c r="F11" s="194">
        <v>82</v>
      </c>
      <c r="G11" s="38">
        <f t="shared" si="0"/>
        <v>9.5</v>
      </c>
      <c r="H11" s="201">
        <f t="shared" si="1"/>
        <v>20.900000000000002</v>
      </c>
      <c r="I11" s="20">
        <f t="shared" si="2"/>
        <v>1713.8000000000002</v>
      </c>
      <c r="J11" s="38"/>
      <c r="K11" s="38"/>
    </row>
    <row r="12" spans="2:17" x14ac:dyDescent="0.2">
      <c r="B12">
        <v>2012</v>
      </c>
      <c r="C12">
        <v>2.2000000000000002</v>
      </c>
      <c r="D12">
        <v>10.199999999999999</v>
      </c>
      <c r="E12" s="194">
        <v>5</v>
      </c>
      <c r="F12" s="194">
        <v>82</v>
      </c>
      <c r="G12" s="38">
        <f t="shared" si="0"/>
        <v>9.69</v>
      </c>
      <c r="H12" s="201">
        <f t="shared" si="1"/>
        <v>21.318000000000001</v>
      </c>
      <c r="I12" s="20">
        <f t="shared" si="2"/>
        <v>1748.076</v>
      </c>
      <c r="J12" s="38"/>
      <c r="K12" s="38"/>
      <c r="Q12" s="20"/>
    </row>
    <row r="13" spans="2:17" x14ac:dyDescent="0.2">
      <c r="B13">
        <v>2013</v>
      </c>
      <c r="C13">
        <v>2.2999999999999998</v>
      </c>
      <c r="D13">
        <v>10.3</v>
      </c>
      <c r="E13" s="194">
        <v>5</v>
      </c>
      <c r="F13" s="194">
        <v>82</v>
      </c>
      <c r="G13" s="38">
        <f t="shared" si="0"/>
        <v>9.7850000000000001</v>
      </c>
      <c r="H13" s="201">
        <f t="shared" si="1"/>
        <v>22.505499999999998</v>
      </c>
      <c r="I13" s="20">
        <f t="shared" si="2"/>
        <v>1845.4509999999998</v>
      </c>
      <c r="J13" s="38"/>
      <c r="K13" s="38"/>
      <c r="Q13" s="20"/>
    </row>
    <row r="14" spans="2:17" x14ac:dyDescent="0.2">
      <c r="B14">
        <v>2014</v>
      </c>
      <c r="C14">
        <v>2.2000000000000002</v>
      </c>
      <c r="D14">
        <v>10.4</v>
      </c>
      <c r="E14" s="194">
        <v>5</v>
      </c>
      <c r="F14" s="194">
        <v>82</v>
      </c>
      <c r="G14" s="38">
        <f t="shared" si="0"/>
        <v>9.8800000000000008</v>
      </c>
      <c r="H14" s="201">
        <f>23.3-23.3*E14/100</f>
        <v>22.135000000000002</v>
      </c>
      <c r="I14" s="20">
        <f t="shared" si="2"/>
        <v>1815.0700000000002</v>
      </c>
      <c r="J14" s="38"/>
      <c r="K14" s="38"/>
      <c r="Q14" s="20"/>
    </row>
    <row r="15" spans="2:17" x14ac:dyDescent="0.2">
      <c r="B15">
        <v>2015</v>
      </c>
      <c r="C15">
        <v>2.2999999999999998</v>
      </c>
      <c r="D15">
        <v>10.6</v>
      </c>
      <c r="E15" s="194">
        <v>5</v>
      </c>
      <c r="F15" s="194">
        <v>82</v>
      </c>
      <c r="G15" s="38">
        <f t="shared" si="0"/>
        <v>10.07</v>
      </c>
      <c r="H15" s="201">
        <f>24.7-24.7*E15/100</f>
        <v>23.465</v>
      </c>
      <c r="I15" s="20">
        <f t="shared" si="2"/>
        <v>1924.1299999999999</v>
      </c>
      <c r="J15" s="38"/>
      <c r="K15" s="38"/>
      <c r="Q15" s="20"/>
    </row>
    <row r="16" spans="2:17" x14ac:dyDescent="0.2">
      <c r="B16">
        <v>2016</v>
      </c>
      <c r="C16">
        <v>2.2000000000000002</v>
      </c>
      <c r="D16">
        <v>10.5</v>
      </c>
      <c r="E16" s="194">
        <v>5</v>
      </c>
      <c r="F16" s="194">
        <v>82</v>
      </c>
      <c r="G16" s="38">
        <f t="shared" si="0"/>
        <v>9.9749999999999996</v>
      </c>
      <c r="H16" s="201">
        <f>22.9-22.9*E16/100</f>
        <v>21.754999999999999</v>
      </c>
      <c r="I16" s="20">
        <f t="shared" si="2"/>
        <v>1783.9099999999999</v>
      </c>
      <c r="J16" s="38"/>
      <c r="K16" s="38"/>
      <c r="Q16" s="20"/>
    </row>
    <row r="17" spans="1:17" x14ac:dyDescent="0.2">
      <c r="B17">
        <v>2017</v>
      </c>
      <c r="C17">
        <v>2.2000000000000002</v>
      </c>
      <c r="D17">
        <v>10.6</v>
      </c>
      <c r="E17" s="194">
        <v>5</v>
      </c>
      <c r="F17" s="194">
        <v>82</v>
      </c>
      <c r="G17" s="38">
        <f t="shared" si="0"/>
        <v>10.07</v>
      </c>
      <c r="H17" s="201">
        <f t="shared" ref="H17:H24" si="3">G17*C17</f>
        <v>22.154000000000003</v>
      </c>
      <c r="I17" s="20">
        <f t="shared" si="2"/>
        <v>1816.6280000000004</v>
      </c>
      <c r="J17" s="38"/>
      <c r="K17" s="38"/>
      <c r="Q17" s="20"/>
    </row>
    <row r="18" spans="1:17" x14ac:dyDescent="0.2">
      <c r="B18">
        <v>2018</v>
      </c>
      <c r="C18">
        <v>2.2000000000000002</v>
      </c>
      <c r="D18">
        <v>10.8</v>
      </c>
      <c r="E18" s="194">
        <v>5</v>
      </c>
      <c r="F18" s="194">
        <v>82</v>
      </c>
      <c r="G18" s="38">
        <f t="shared" si="0"/>
        <v>10.260000000000002</v>
      </c>
      <c r="H18" s="201">
        <f t="shared" si="3"/>
        <v>22.572000000000006</v>
      </c>
      <c r="I18" s="20">
        <f t="shared" si="2"/>
        <v>1850.9040000000005</v>
      </c>
      <c r="J18" s="38"/>
      <c r="K18" s="38"/>
    </row>
    <row r="19" spans="1:17" x14ac:dyDescent="0.2">
      <c r="B19">
        <v>2019</v>
      </c>
      <c r="C19">
        <v>2.2000000000000002</v>
      </c>
      <c r="D19">
        <v>11.3</v>
      </c>
      <c r="E19" s="194">
        <v>5</v>
      </c>
      <c r="F19" s="194">
        <v>82</v>
      </c>
      <c r="G19" s="38">
        <f t="shared" si="0"/>
        <v>10.735000000000001</v>
      </c>
      <c r="H19" s="201">
        <f t="shared" si="3"/>
        <v>23.617000000000004</v>
      </c>
      <c r="I19" s="20">
        <f t="shared" si="2"/>
        <v>1936.5940000000003</v>
      </c>
      <c r="J19" s="38"/>
      <c r="K19" s="38"/>
    </row>
    <row r="20" spans="1:17" x14ac:dyDescent="0.2">
      <c r="B20">
        <v>2020</v>
      </c>
      <c r="C20">
        <v>2.2999999999999998</v>
      </c>
      <c r="D20">
        <v>11.6</v>
      </c>
      <c r="E20" s="194">
        <v>5</v>
      </c>
      <c r="F20" s="194">
        <v>82</v>
      </c>
      <c r="G20" s="38">
        <f t="shared" si="0"/>
        <v>11.02</v>
      </c>
      <c r="H20" s="201">
        <f t="shared" si="3"/>
        <v>25.345999999999997</v>
      </c>
      <c r="I20" s="20">
        <f t="shared" si="2"/>
        <v>2078.3719999999998</v>
      </c>
      <c r="J20" s="38"/>
      <c r="K20" s="38"/>
    </row>
    <row r="21" spans="1:17" x14ac:dyDescent="0.2">
      <c r="B21">
        <v>2021</v>
      </c>
      <c r="C21">
        <v>2.2999999999999998</v>
      </c>
      <c r="D21">
        <v>11.7</v>
      </c>
      <c r="E21" s="194">
        <v>5</v>
      </c>
      <c r="F21" s="194">
        <v>82</v>
      </c>
      <c r="G21" s="38">
        <f t="shared" si="0"/>
        <v>11.114999999999998</v>
      </c>
      <c r="H21" s="201">
        <f t="shared" si="3"/>
        <v>25.564499999999995</v>
      </c>
      <c r="I21" s="20">
        <f t="shared" si="2"/>
        <v>2096.2889999999998</v>
      </c>
      <c r="J21" s="38"/>
      <c r="K21" s="38"/>
    </row>
    <row r="22" spans="1:17" x14ac:dyDescent="0.2">
      <c r="B22">
        <v>2022</v>
      </c>
      <c r="C22">
        <v>2.2999999999999998</v>
      </c>
      <c r="D22">
        <v>11.8</v>
      </c>
      <c r="E22" s="194">
        <v>5</v>
      </c>
      <c r="F22" s="194">
        <v>82</v>
      </c>
      <c r="G22" s="38">
        <f t="shared" si="0"/>
        <v>11.21</v>
      </c>
      <c r="H22" s="201">
        <f t="shared" si="3"/>
        <v>25.783000000000001</v>
      </c>
      <c r="I22" s="20">
        <f t="shared" si="2"/>
        <v>2114.2060000000001</v>
      </c>
      <c r="J22" s="38"/>
      <c r="K22" s="38"/>
    </row>
    <row r="23" spans="1:17" x14ac:dyDescent="0.2">
      <c r="B23">
        <v>2023</v>
      </c>
      <c r="C23">
        <v>2.2999999999999998</v>
      </c>
      <c r="D23">
        <v>11.9</v>
      </c>
      <c r="E23" s="194">
        <v>5</v>
      </c>
      <c r="F23" s="194">
        <v>82</v>
      </c>
      <c r="G23" s="38">
        <f t="shared" si="0"/>
        <v>11.305</v>
      </c>
      <c r="H23" s="201">
        <f t="shared" si="3"/>
        <v>26.001499999999997</v>
      </c>
      <c r="I23" s="20">
        <f t="shared" si="2"/>
        <v>2132.1229999999996</v>
      </c>
      <c r="J23" s="38"/>
      <c r="K23" s="38"/>
    </row>
    <row r="24" spans="1:17" ht="16" thickBot="1" x14ac:dyDescent="0.25">
      <c r="A24" s="195"/>
      <c r="B24" s="195">
        <v>2024</v>
      </c>
      <c r="C24" s="196">
        <v>2.2999999999999998</v>
      </c>
      <c r="D24" s="196">
        <v>12.2</v>
      </c>
      <c r="E24" s="198">
        <v>5</v>
      </c>
      <c r="F24" s="198">
        <v>82</v>
      </c>
      <c r="G24" s="197">
        <f t="shared" si="0"/>
        <v>11.59</v>
      </c>
      <c r="H24" s="202">
        <f t="shared" si="3"/>
        <v>26.656999999999996</v>
      </c>
      <c r="I24" s="203">
        <f t="shared" si="2"/>
        <v>2185.8739999999998</v>
      </c>
      <c r="J24" s="38"/>
      <c r="K24" s="38"/>
    </row>
    <row r="25" spans="1:17" x14ac:dyDescent="0.2">
      <c r="B25" s="21">
        <v>2025</v>
      </c>
      <c r="C25">
        <v>2.2999999999999998</v>
      </c>
      <c r="D25" s="200">
        <f>D24+0.2</f>
        <v>12.399999999999999</v>
      </c>
      <c r="E25" s="194">
        <v>5</v>
      </c>
      <c r="F25" s="194">
        <v>82</v>
      </c>
      <c r="G25" s="38">
        <f t="shared" si="0"/>
        <v>11.78</v>
      </c>
      <c r="J25" s="201">
        <f t="shared" ref="J25:J34" si="4">G25*C25</f>
        <v>27.093999999999998</v>
      </c>
      <c r="K25" s="201">
        <f t="shared" ref="K25:K34" si="5">F25*J25</f>
        <v>2221.7079999999996</v>
      </c>
    </row>
    <row r="26" spans="1:17" x14ac:dyDescent="0.2">
      <c r="B26" s="21">
        <v>2026</v>
      </c>
      <c r="C26">
        <v>2.2999999999999998</v>
      </c>
      <c r="D26" s="200">
        <f t="shared" ref="D26:D30" si="6">D25+0.2</f>
        <v>12.599999999999998</v>
      </c>
      <c r="E26" s="194">
        <v>5</v>
      </c>
      <c r="F26" s="194">
        <v>82</v>
      </c>
      <c r="G26" s="38">
        <f t="shared" si="0"/>
        <v>11.969999999999999</v>
      </c>
      <c r="J26" s="201">
        <f t="shared" si="4"/>
        <v>27.530999999999995</v>
      </c>
      <c r="K26" s="201">
        <f t="shared" si="5"/>
        <v>2257.5419999999995</v>
      </c>
    </row>
    <row r="27" spans="1:17" x14ac:dyDescent="0.2">
      <c r="B27" s="21">
        <v>2027</v>
      </c>
      <c r="C27">
        <v>2.2999999999999998</v>
      </c>
      <c r="D27" s="200">
        <f t="shared" si="6"/>
        <v>12.799999999999997</v>
      </c>
      <c r="E27" s="194">
        <v>5</v>
      </c>
      <c r="F27" s="194">
        <v>82</v>
      </c>
      <c r="G27" s="38">
        <f t="shared" si="0"/>
        <v>12.159999999999997</v>
      </c>
      <c r="J27" s="201">
        <f t="shared" si="4"/>
        <v>27.967999999999989</v>
      </c>
      <c r="K27" s="201">
        <f t="shared" si="5"/>
        <v>2293.3759999999993</v>
      </c>
    </row>
    <row r="28" spans="1:17" x14ac:dyDescent="0.2">
      <c r="B28" s="21">
        <v>2028</v>
      </c>
      <c r="C28">
        <v>2.2999999999999998</v>
      </c>
      <c r="D28" s="200">
        <f t="shared" si="6"/>
        <v>12.999999999999996</v>
      </c>
      <c r="E28" s="194">
        <v>5</v>
      </c>
      <c r="F28" s="194">
        <v>82</v>
      </c>
      <c r="G28" s="38">
        <f t="shared" si="0"/>
        <v>12.349999999999996</v>
      </c>
      <c r="J28" s="201">
        <f t="shared" si="4"/>
        <v>28.40499999999999</v>
      </c>
      <c r="K28" s="201">
        <f t="shared" si="5"/>
        <v>2329.2099999999991</v>
      </c>
    </row>
    <row r="29" spans="1:17" x14ac:dyDescent="0.2">
      <c r="B29" s="21">
        <v>2029</v>
      </c>
      <c r="C29">
        <v>2.2999999999999998</v>
      </c>
      <c r="D29" s="200">
        <f t="shared" si="6"/>
        <v>13.199999999999996</v>
      </c>
      <c r="E29" s="194">
        <v>5</v>
      </c>
      <c r="F29" s="194">
        <v>82</v>
      </c>
      <c r="G29" s="38">
        <f t="shared" si="0"/>
        <v>12.539999999999996</v>
      </c>
      <c r="J29" s="201">
        <f t="shared" si="4"/>
        <v>28.841999999999988</v>
      </c>
      <c r="K29" s="201">
        <f t="shared" si="5"/>
        <v>2365.043999999999</v>
      </c>
    </row>
    <row r="30" spans="1:17" x14ac:dyDescent="0.2">
      <c r="B30" s="21">
        <v>2030</v>
      </c>
      <c r="C30">
        <v>2.2999999999999998</v>
      </c>
      <c r="D30" s="200">
        <f t="shared" si="6"/>
        <v>13.399999999999995</v>
      </c>
      <c r="E30" s="194">
        <v>5</v>
      </c>
      <c r="F30" s="194">
        <v>82</v>
      </c>
      <c r="G30" s="38">
        <f t="shared" si="0"/>
        <v>12.729999999999995</v>
      </c>
      <c r="J30" s="201">
        <f t="shared" si="4"/>
        <v>29.278999999999986</v>
      </c>
      <c r="K30" s="201">
        <f t="shared" si="5"/>
        <v>2400.8779999999988</v>
      </c>
    </row>
    <row r="31" spans="1:17" x14ac:dyDescent="0.2">
      <c r="B31" s="21">
        <v>2031</v>
      </c>
      <c r="C31">
        <v>2.4</v>
      </c>
      <c r="D31" s="200">
        <f>D30+0.15</f>
        <v>13.549999999999995</v>
      </c>
      <c r="E31" s="194">
        <v>5</v>
      </c>
      <c r="F31" s="194">
        <v>82</v>
      </c>
      <c r="G31" s="38">
        <f t="shared" si="0"/>
        <v>12.872499999999995</v>
      </c>
      <c r="J31" s="201">
        <f t="shared" si="4"/>
        <v>30.893999999999988</v>
      </c>
      <c r="K31" s="201">
        <f t="shared" si="5"/>
        <v>2533.3079999999991</v>
      </c>
    </row>
    <row r="32" spans="1:17" x14ac:dyDescent="0.2">
      <c r="B32" s="21">
        <v>2032</v>
      </c>
      <c r="C32">
        <v>2.4</v>
      </c>
      <c r="D32" s="200">
        <f t="shared" ref="D32:D34" si="7">D31+0.15</f>
        <v>13.699999999999996</v>
      </c>
      <c r="E32" s="194">
        <v>5</v>
      </c>
      <c r="F32" s="194">
        <v>82</v>
      </c>
      <c r="G32" s="38">
        <f t="shared" si="0"/>
        <v>13.014999999999995</v>
      </c>
      <c r="J32" s="201">
        <f t="shared" si="4"/>
        <v>31.235999999999986</v>
      </c>
      <c r="K32" s="201">
        <f t="shared" si="5"/>
        <v>2561.351999999999</v>
      </c>
    </row>
    <row r="33" spans="2:15" x14ac:dyDescent="0.2">
      <c r="B33" s="21">
        <v>2033</v>
      </c>
      <c r="C33">
        <v>2.4</v>
      </c>
      <c r="D33" s="200">
        <f t="shared" si="7"/>
        <v>13.849999999999996</v>
      </c>
      <c r="E33" s="194">
        <v>5</v>
      </c>
      <c r="F33" s="194">
        <v>82</v>
      </c>
      <c r="G33" s="38">
        <f t="shared" si="0"/>
        <v>13.157499999999995</v>
      </c>
      <c r="J33" s="201">
        <f t="shared" si="4"/>
        <v>31.577999999999989</v>
      </c>
      <c r="K33" s="201">
        <f t="shared" si="5"/>
        <v>2589.3959999999993</v>
      </c>
    </row>
    <row r="34" spans="2:15" x14ac:dyDescent="0.2">
      <c r="B34" s="21">
        <v>2034</v>
      </c>
      <c r="C34">
        <v>2.4</v>
      </c>
      <c r="D34" s="200">
        <f t="shared" si="7"/>
        <v>13.999999999999996</v>
      </c>
      <c r="E34" s="194">
        <v>5</v>
      </c>
      <c r="F34" s="194">
        <v>82</v>
      </c>
      <c r="G34" s="38">
        <f t="shared" si="0"/>
        <v>13.299999999999997</v>
      </c>
      <c r="J34" s="201">
        <f t="shared" si="4"/>
        <v>31.919999999999991</v>
      </c>
      <c r="K34" s="201">
        <f t="shared" si="5"/>
        <v>2617.4399999999991</v>
      </c>
    </row>
    <row r="35" spans="2:15" x14ac:dyDescent="0.2">
      <c r="G35" s="38"/>
      <c r="H35" s="193"/>
      <c r="I35" s="38"/>
      <c r="J35" s="20"/>
      <c r="K35" s="20"/>
    </row>
    <row r="36" spans="2:15" x14ac:dyDescent="0.2">
      <c r="G36" s="38"/>
      <c r="I36" s="38"/>
      <c r="J36" s="193"/>
      <c r="K36" s="38"/>
      <c r="L36" s="38"/>
      <c r="N36" s="38"/>
      <c r="O36" s="38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B4C88-1478-4188-A36F-72A05D3F6FFA}">
  <dimension ref="A2:K48"/>
  <sheetViews>
    <sheetView zoomScale="115" zoomScaleNormal="115" workbookViewId="0">
      <selection activeCell="D14" sqref="D14"/>
    </sheetView>
  </sheetViews>
  <sheetFormatPr baseColWidth="10" defaultColWidth="8.83203125" defaultRowHeight="15" x14ac:dyDescent="0.2"/>
  <cols>
    <col min="1" max="1" width="20.6640625" customWidth="1"/>
    <col min="2" max="2" width="15.33203125" customWidth="1"/>
    <col min="6" max="6" width="13.83203125" bestFit="1" customWidth="1"/>
    <col min="8" max="8" width="13.83203125" bestFit="1" customWidth="1"/>
    <col min="11" max="11" width="15.33203125" bestFit="1" customWidth="1"/>
  </cols>
  <sheetData>
    <row r="2" spans="1:11" x14ac:dyDescent="0.2">
      <c r="A2" s="21" t="s">
        <v>152</v>
      </c>
    </row>
    <row r="4" spans="1:11" x14ac:dyDescent="0.2">
      <c r="A4" t="s">
        <v>153</v>
      </c>
    </row>
    <row r="5" spans="1:11" x14ac:dyDescent="0.2">
      <c r="A5" s="3"/>
      <c r="B5" s="4"/>
      <c r="C5" s="4"/>
      <c r="D5" s="4"/>
      <c r="E5" s="4"/>
      <c r="F5" s="22"/>
    </row>
    <row r="6" spans="1:11" x14ac:dyDescent="0.2">
      <c r="A6" s="6" t="s">
        <v>154</v>
      </c>
      <c r="B6" s="15" t="s">
        <v>115</v>
      </c>
      <c r="C6" s="15"/>
      <c r="D6" s="15" t="s">
        <v>155</v>
      </c>
      <c r="E6" s="15"/>
      <c r="F6" s="34" t="s">
        <v>156</v>
      </c>
    </row>
    <row r="7" spans="1:11" x14ac:dyDescent="0.2">
      <c r="A7" s="3" t="s">
        <v>157</v>
      </c>
      <c r="B7" s="4">
        <f>+Loomakohad!B22</f>
        <v>20200</v>
      </c>
      <c r="C7" s="4"/>
      <c r="D7" s="28">
        <f>+KTBL!F44</f>
        <v>3195</v>
      </c>
      <c r="E7" s="4"/>
      <c r="F7" s="75">
        <f>+D7*B7</f>
        <v>64539000</v>
      </c>
    </row>
    <row r="8" spans="1:11" x14ac:dyDescent="0.2">
      <c r="A8" s="5" t="s">
        <v>84</v>
      </c>
      <c r="B8">
        <f>+Loomakohad!D34</f>
        <v>107000</v>
      </c>
      <c r="D8" s="20">
        <f>+KTBL!F89</f>
        <v>481</v>
      </c>
      <c r="F8" s="74">
        <f>+D8*B8</f>
        <v>51467000</v>
      </c>
      <c r="H8" s="36"/>
    </row>
    <row r="9" spans="1:11" x14ac:dyDescent="0.2">
      <c r="A9" s="5" t="s">
        <v>158</v>
      </c>
      <c r="B9">
        <f>+Loomakohad!D29</f>
        <v>207000</v>
      </c>
      <c r="D9" s="20">
        <f>+KTBL!F132</f>
        <v>778</v>
      </c>
      <c r="F9" s="74">
        <f>+D9*B9</f>
        <v>161046000</v>
      </c>
    </row>
    <row r="10" spans="1:11" x14ac:dyDescent="0.2">
      <c r="A10" s="6"/>
      <c r="B10" s="15"/>
      <c r="C10" s="15"/>
      <c r="D10" s="15"/>
      <c r="E10" s="15"/>
      <c r="F10" s="34"/>
    </row>
    <row r="11" spans="1:11" x14ac:dyDescent="0.2">
      <c r="A11" s="6" t="s">
        <v>159</v>
      </c>
      <c r="B11" s="15"/>
      <c r="C11" s="15"/>
      <c r="D11" s="15"/>
      <c r="E11" s="15"/>
      <c r="F11" s="39">
        <f>SUM(F7:F10)</f>
        <v>277052000</v>
      </c>
      <c r="K11" s="19">
        <v>12500000</v>
      </c>
    </row>
    <row r="12" spans="1:11" x14ac:dyDescent="0.2">
      <c r="K12">
        <v>2500</v>
      </c>
    </row>
    <row r="13" spans="1:11" x14ac:dyDescent="0.2">
      <c r="K13">
        <f>+K11/K12</f>
        <v>5000</v>
      </c>
    </row>
    <row r="14" spans="1:11" x14ac:dyDescent="0.2">
      <c r="A14" t="s">
        <v>160</v>
      </c>
    </row>
    <row r="15" spans="1:11" x14ac:dyDescent="0.2">
      <c r="A15" s="3" t="s">
        <v>154</v>
      </c>
      <c r="B15" s="4" t="s">
        <v>161</v>
      </c>
      <c r="C15" s="4" t="s">
        <v>162</v>
      </c>
      <c r="D15" s="4" t="s">
        <v>163</v>
      </c>
      <c r="E15" s="4"/>
      <c r="F15" s="22" t="s">
        <v>156</v>
      </c>
    </row>
    <row r="16" spans="1:11" x14ac:dyDescent="0.2">
      <c r="A16" s="5" t="s">
        <v>164</v>
      </c>
      <c r="B16">
        <f>+HOIDLAD!B30</f>
        <v>4.2</v>
      </c>
      <c r="C16">
        <f>+B16*B7</f>
        <v>84840</v>
      </c>
      <c r="D16">
        <v>55</v>
      </c>
      <c r="F16" s="74">
        <f>+D16*C16</f>
        <v>4666200</v>
      </c>
    </row>
    <row r="17" spans="1:6" x14ac:dyDescent="0.2">
      <c r="A17" s="5" t="s">
        <v>84</v>
      </c>
      <c r="B17">
        <f>+HOIDLAD!B31</f>
        <v>0.7</v>
      </c>
      <c r="C17">
        <f>+B17*B8</f>
        <v>74900</v>
      </c>
      <c r="D17">
        <v>55</v>
      </c>
      <c r="F17" s="74">
        <f t="shared" ref="F17:F18" si="0">+D17*C17</f>
        <v>4119500</v>
      </c>
    </row>
    <row r="18" spans="1:6" x14ac:dyDescent="0.2">
      <c r="A18" s="5" t="s">
        <v>158</v>
      </c>
      <c r="B18" s="38">
        <f>+HOIDLAD!B32</f>
        <v>2</v>
      </c>
      <c r="C18">
        <f>+B18*B9</f>
        <v>414000</v>
      </c>
      <c r="D18">
        <v>55</v>
      </c>
      <c r="F18" s="74">
        <f t="shared" si="0"/>
        <v>22770000</v>
      </c>
    </row>
    <row r="19" spans="1:6" x14ac:dyDescent="0.2">
      <c r="A19" s="5"/>
      <c r="F19" s="74"/>
    </row>
    <row r="20" spans="1:6" x14ac:dyDescent="0.2">
      <c r="A20" s="6" t="s">
        <v>165</v>
      </c>
      <c r="B20" s="15"/>
      <c r="C20" s="15"/>
      <c r="D20" s="15"/>
      <c r="E20" s="15"/>
      <c r="F20" s="39">
        <f>SUM(F16:F19)</f>
        <v>31555700</v>
      </c>
    </row>
    <row r="22" spans="1:6" x14ac:dyDescent="0.2">
      <c r="A22" s="76" t="s">
        <v>166</v>
      </c>
      <c r="B22" s="77"/>
      <c r="C22" s="77"/>
      <c r="D22" s="77"/>
      <c r="E22" s="77"/>
      <c r="F22" s="78">
        <f>+F20+F11</f>
        <v>308607700</v>
      </c>
    </row>
    <row r="25" spans="1:6" x14ac:dyDescent="0.2">
      <c r="A25" s="21" t="s">
        <v>167</v>
      </c>
    </row>
    <row r="26" spans="1:6" x14ac:dyDescent="0.2">
      <c r="A26" s="21" t="s">
        <v>168</v>
      </c>
    </row>
    <row r="27" spans="1:6" x14ac:dyDescent="0.2">
      <c r="A27" s="21"/>
    </row>
    <row r="28" spans="1:6" x14ac:dyDescent="0.2">
      <c r="A28" t="s">
        <v>153</v>
      </c>
    </row>
    <row r="29" spans="1:6" x14ac:dyDescent="0.2">
      <c r="A29" s="3"/>
      <c r="B29" s="4"/>
      <c r="C29" s="4"/>
      <c r="D29" s="4"/>
      <c r="E29" s="4"/>
      <c r="F29" s="22"/>
    </row>
    <row r="30" spans="1:6" x14ac:dyDescent="0.2">
      <c r="A30" s="6" t="s">
        <v>154</v>
      </c>
      <c r="B30" s="15" t="s">
        <v>115</v>
      </c>
      <c r="C30" s="15"/>
      <c r="D30" s="15" t="s">
        <v>155</v>
      </c>
      <c r="E30" s="15"/>
      <c r="F30" s="34" t="s">
        <v>156</v>
      </c>
    </row>
    <row r="31" spans="1:6" x14ac:dyDescent="0.2">
      <c r="A31" s="3" t="s">
        <v>157</v>
      </c>
      <c r="B31" s="4">
        <f>+Loomakohad!B22</f>
        <v>20200</v>
      </c>
      <c r="C31" s="4"/>
      <c r="D31" s="28">
        <f>+KTBL!W44</f>
        <v>5735</v>
      </c>
      <c r="E31" s="4"/>
      <c r="F31" s="75">
        <f>+D31*B31</f>
        <v>115847000</v>
      </c>
    </row>
    <row r="32" spans="1:6" x14ac:dyDescent="0.2">
      <c r="A32" s="5" t="s">
        <v>84</v>
      </c>
      <c r="B32">
        <f>+Loomakohad!D34</f>
        <v>107000</v>
      </c>
      <c r="D32" s="20">
        <f>+KTBL!F89</f>
        <v>481</v>
      </c>
      <c r="F32" s="74">
        <f>+D32*B32</f>
        <v>51467000</v>
      </c>
    </row>
    <row r="33" spans="1:6" x14ac:dyDescent="0.2">
      <c r="A33" s="5" t="s">
        <v>158</v>
      </c>
      <c r="B33">
        <f>+Loomakohad!D29</f>
        <v>207000</v>
      </c>
      <c r="D33" s="20">
        <f>+KTBL!F132</f>
        <v>778</v>
      </c>
      <c r="F33" s="74">
        <f>+D33*B33</f>
        <v>161046000</v>
      </c>
    </row>
    <row r="34" spans="1:6" x14ac:dyDescent="0.2">
      <c r="A34" s="6"/>
      <c r="B34" s="15"/>
      <c r="C34" s="15"/>
      <c r="D34" s="15"/>
      <c r="E34" s="15"/>
      <c r="F34" s="34"/>
    </row>
    <row r="35" spans="1:6" x14ac:dyDescent="0.2">
      <c r="A35" s="6" t="s">
        <v>159</v>
      </c>
      <c r="B35" s="15"/>
      <c r="C35" s="15"/>
      <c r="D35" s="15"/>
      <c r="E35" s="15"/>
      <c r="F35" s="39">
        <f>SUM(F31:F34)</f>
        <v>328360000</v>
      </c>
    </row>
    <row r="38" spans="1:6" x14ac:dyDescent="0.2">
      <c r="A38" t="s">
        <v>160</v>
      </c>
    </row>
    <row r="39" spans="1:6" x14ac:dyDescent="0.2">
      <c r="A39" s="3" t="s">
        <v>154</v>
      </c>
      <c r="B39" s="4" t="s">
        <v>161</v>
      </c>
      <c r="C39" s="4" t="s">
        <v>162</v>
      </c>
      <c r="D39" s="4" t="s">
        <v>163</v>
      </c>
      <c r="E39" s="4"/>
      <c r="F39" s="22" t="s">
        <v>156</v>
      </c>
    </row>
    <row r="40" spans="1:6" x14ac:dyDescent="0.2">
      <c r="A40" s="5" t="s">
        <v>164</v>
      </c>
      <c r="B40">
        <f>+HOIDLAD!B30</f>
        <v>4.2</v>
      </c>
      <c r="C40">
        <f>+B40*B31</f>
        <v>84840</v>
      </c>
      <c r="D40">
        <v>55</v>
      </c>
      <c r="F40" s="74">
        <f>+D40*C40</f>
        <v>4666200</v>
      </c>
    </row>
    <row r="41" spans="1:6" x14ac:dyDescent="0.2">
      <c r="A41" s="5" t="s">
        <v>84</v>
      </c>
      <c r="B41">
        <f>+HOIDLAD!B31</f>
        <v>0.7</v>
      </c>
      <c r="C41">
        <f>+B41*B32</f>
        <v>74900</v>
      </c>
      <c r="D41">
        <v>55</v>
      </c>
      <c r="F41" s="74">
        <f t="shared" ref="F41:F42" si="1">+D41*C41</f>
        <v>4119500</v>
      </c>
    </row>
    <row r="42" spans="1:6" x14ac:dyDescent="0.2">
      <c r="A42" s="5" t="s">
        <v>158</v>
      </c>
      <c r="B42" s="38">
        <f>+HOIDLAD!B32</f>
        <v>2</v>
      </c>
      <c r="C42">
        <f>+B42*B33</f>
        <v>414000</v>
      </c>
      <c r="D42">
        <v>55</v>
      </c>
      <c r="F42" s="74">
        <f t="shared" si="1"/>
        <v>22770000</v>
      </c>
    </row>
    <row r="43" spans="1:6" x14ac:dyDescent="0.2">
      <c r="A43" s="5"/>
      <c r="C43">
        <f>SUM(C40:C42)</f>
        <v>573740</v>
      </c>
      <c r="F43" s="74"/>
    </row>
    <row r="44" spans="1:6" x14ac:dyDescent="0.2">
      <c r="A44" s="6" t="s">
        <v>165</v>
      </c>
      <c r="B44" s="15"/>
      <c r="C44" s="15"/>
      <c r="D44" s="15"/>
      <c r="E44" s="15"/>
      <c r="F44" s="39">
        <f>SUM(F40:F43)</f>
        <v>31555700</v>
      </c>
    </row>
    <row r="46" spans="1:6" x14ac:dyDescent="0.2">
      <c r="A46" s="76" t="s">
        <v>166</v>
      </c>
      <c r="B46" s="77"/>
      <c r="C46" s="77"/>
      <c r="D46" s="77"/>
      <c r="E46" s="77"/>
      <c r="F46" s="78">
        <f>+F44+F35</f>
        <v>359915700</v>
      </c>
    </row>
    <row r="48" spans="1:6" x14ac:dyDescent="0.2">
      <c r="A48" s="190" t="s">
        <v>169</v>
      </c>
      <c r="B48" s="191"/>
      <c r="C48" s="191"/>
      <c r="D48" s="191"/>
      <c r="E48" s="191"/>
      <c r="F48" s="192">
        <f>+F46-F22</f>
        <v>51308000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FF368-44BC-4E9E-A6CD-C02B2796CA95}">
  <dimension ref="A3:S94"/>
  <sheetViews>
    <sheetView tabSelected="1" topLeftCell="A76" workbookViewId="0">
      <selection activeCell="E94" sqref="E94"/>
    </sheetView>
  </sheetViews>
  <sheetFormatPr baseColWidth="10" defaultColWidth="8.83203125" defaultRowHeight="15" x14ac:dyDescent="0.2"/>
  <cols>
    <col min="1" max="1" width="32.1640625" bestFit="1" customWidth="1"/>
    <col min="3" max="3" width="13.83203125" bestFit="1" customWidth="1"/>
    <col min="5" max="5" width="13.83203125" bestFit="1" customWidth="1"/>
    <col min="8" max="8" width="11.33203125" customWidth="1"/>
    <col min="10" max="10" width="12.6640625" bestFit="1" customWidth="1"/>
    <col min="13" max="13" width="13.83203125" bestFit="1" customWidth="1"/>
    <col min="17" max="17" width="13.83203125" bestFit="1" customWidth="1"/>
  </cols>
  <sheetData>
    <row r="3" spans="1:10" ht="19" x14ac:dyDescent="0.25">
      <c r="A3" s="42" t="s">
        <v>170</v>
      </c>
    </row>
    <row r="4" spans="1:10" ht="19" x14ac:dyDescent="0.25">
      <c r="A4" s="42" t="s">
        <v>171</v>
      </c>
    </row>
    <row r="5" spans="1:10" x14ac:dyDescent="0.2">
      <c r="A5" s="3"/>
      <c r="B5" s="4"/>
      <c r="C5" s="4"/>
      <c r="D5" s="4"/>
      <c r="E5" s="4"/>
      <c r="F5" s="22"/>
    </row>
    <row r="6" spans="1:10" x14ac:dyDescent="0.2">
      <c r="A6" s="76" t="s">
        <v>172</v>
      </c>
      <c r="B6" s="77">
        <f>+Loomakohad!B19</f>
        <v>20200</v>
      </c>
      <c r="C6" s="77" t="s">
        <v>115</v>
      </c>
      <c r="D6" s="13"/>
      <c r="E6" s="41"/>
      <c r="F6" s="31"/>
    </row>
    <row r="7" spans="1:10" x14ac:dyDescent="0.2">
      <c r="A7" s="3"/>
      <c r="B7" s="4"/>
      <c r="C7" s="4"/>
      <c r="D7" s="4"/>
      <c r="E7" s="22"/>
      <c r="F7" s="31"/>
      <c r="H7" t="s">
        <v>0</v>
      </c>
    </row>
    <row r="8" spans="1:10" x14ac:dyDescent="0.2">
      <c r="A8" s="11" t="s">
        <v>173</v>
      </c>
      <c r="B8" s="12" t="s">
        <v>155</v>
      </c>
      <c r="C8" s="12" t="s">
        <v>156</v>
      </c>
      <c r="D8" s="12" t="s">
        <v>174</v>
      </c>
      <c r="E8" s="12" t="s">
        <v>175</v>
      </c>
      <c r="F8" s="31"/>
      <c r="H8" s="11" t="s">
        <v>176</v>
      </c>
      <c r="I8" s="13" t="s">
        <v>141</v>
      </c>
      <c r="J8" s="41" t="s">
        <v>177</v>
      </c>
    </row>
    <row r="9" spans="1:10" x14ac:dyDescent="0.2">
      <c r="A9" s="5" t="s">
        <v>80</v>
      </c>
      <c r="B9" s="81">
        <f>+KTBL!F41</f>
        <v>1698</v>
      </c>
      <c r="C9" s="83">
        <f>+B9*$B$6</f>
        <v>34299600</v>
      </c>
      <c r="D9" s="100">
        <v>0.3</v>
      </c>
      <c r="E9" s="83">
        <f>+C9*(1-D9)</f>
        <v>24009720</v>
      </c>
      <c r="F9" s="31"/>
      <c r="H9" s="3">
        <v>30</v>
      </c>
      <c r="I9" s="98">
        <f>1/H9</f>
        <v>3.3333333333333333E-2</v>
      </c>
      <c r="J9" s="75">
        <f>+I9*C9</f>
        <v>1143320</v>
      </c>
    </row>
    <row r="10" spans="1:10" x14ac:dyDescent="0.2">
      <c r="A10" s="5" t="s">
        <v>81</v>
      </c>
      <c r="B10" s="81">
        <f>+KTBL!F42</f>
        <v>866</v>
      </c>
      <c r="C10" s="83">
        <f>+B10*$B$6</f>
        <v>17493200</v>
      </c>
      <c r="D10" s="100">
        <v>0.1</v>
      </c>
      <c r="E10" s="83">
        <f>+C10*(1-D10)</f>
        <v>15743880</v>
      </c>
      <c r="F10" s="31"/>
      <c r="H10" s="5">
        <v>15</v>
      </c>
      <c r="I10" s="79">
        <f t="shared" ref="I10:I11" si="0">1/H10</f>
        <v>6.6666666666666666E-2</v>
      </c>
      <c r="J10" s="74">
        <f t="shared" ref="J10:J11" si="1">+I10*C10</f>
        <v>1166213.3333333333</v>
      </c>
    </row>
    <row r="11" spans="1:10" x14ac:dyDescent="0.2">
      <c r="A11" s="5" t="s">
        <v>82</v>
      </c>
      <c r="B11" s="81">
        <f>+KTBL!F43</f>
        <v>631</v>
      </c>
      <c r="C11" s="83">
        <f>+B11*$B$6</f>
        <v>12746200</v>
      </c>
      <c r="D11" s="100">
        <v>0.05</v>
      </c>
      <c r="E11" s="83">
        <f>+C11*(1-D11)</f>
        <v>12108890</v>
      </c>
      <c r="F11" s="31"/>
      <c r="H11" s="5">
        <v>10</v>
      </c>
      <c r="I11" s="79">
        <f t="shared" si="0"/>
        <v>0.1</v>
      </c>
      <c r="J11" s="74">
        <f t="shared" si="1"/>
        <v>1274620</v>
      </c>
    </row>
    <row r="12" spans="1:10" x14ac:dyDescent="0.2">
      <c r="A12" s="6" t="s">
        <v>40</v>
      </c>
      <c r="B12" s="82">
        <f>SUM(B9:B11)</f>
        <v>3195</v>
      </c>
      <c r="C12" s="84">
        <f>SUM(C9:C11)</f>
        <v>64539000</v>
      </c>
      <c r="D12" s="86"/>
      <c r="E12" s="84">
        <f>SUM(E9:E11)</f>
        <v>51862490</v>
      </c>
      <c r="F12" s="31"/>
      <c r="H12" s="6"/>
      <c r="I12" s="80"/>
      <c r="J12" s="39"/>
    </row>
    <row r="13" spans="1:10" x14ac:dyDescent="0.2">
      <c r="A13" s="5"/>
      <c r="B13" s="20"/>
      <c r="F13" s="31"/>
      <c r="H13" s="5"/>
      <c r="J13" s="31"/>
    </row>
    <row r="14" spans="1:10" x14ac:dyDescent="0.2">
      <c r="A14" s="76" t="s">
        <v>178</v>
      </c>
      <c r="B14" s="77">
        <f>+Loomakohad!D34</f>
        <v>107000</v>
      </c>
      <c r="C14" s="77" t="s">
        <v>115</v>
      </c>
      <c r="D14" s="13"/>
      <c r="E14" s="41"/>
      <c r="F14" s="31"/>
      <c r="H14" s="5"/>
      <c r="J14" s="31"/>
    </row>
    <row r="15" spans="1:10" x14ac:dyDescent="0.2">
      <c r="A15" s="5"/>
      <c r="E15" s="31"/>
      <c r="F15" s="31"/>
      <c r="H15" s="5"/>
      <c r="J15" s="31"/>
    </row>
    <row r="16" spans="1:10" x14ac:dyDescent="0.2">
      <c r="A16" s="12" t="s">
        <v>173</v>
      </c>
      <c r="B16" s="13" t="s">
        <v>155</v>
      </c>
      <c r="C16" s="12" t="s">
        <v>156</v>
      </c>
      <c r="D16" s="13" t="s">
        <v>174</v>
      </c>
      <c r="E16" s="12" t="s">
        <v>175</v>
      </c>
      <c r="F16" s="31"/>
      <c r="H16" s="5"/>
      <c r="J16" s="31"/>
    </row>
    <row r="17" spans="1:17" x14ac:dyDescent="0.2">
      <c r="A17" s="9" t="s">
        <v>80</v>
      </c>
      <c r="B17" s="20">
        <f>+KTBL!F86</f>
        <v>295</v>
      </c>
      <c r="C17" s="83">
        <f>+B17*$B$14</f>
        <v>31565000</v>
      </c>
      <c r="D17" s="101">
        <v>0.3</v>
      </c>
      <c r="E17" s="83">
        <f>+C17*(1-D17)</f>
        <v>22095500</v>
      </c>
      <c r="F17" s="31"/>
      <c r="H17" s="3">
        <v>30</v>
      </c>
      <c r="I17" s="98">
        <f>1/H17</f>
        <v>3.3333333333333333E-2</v>
      </c>
      <c r="J17" s="75">
        <f>+I17*C17</f>
        <v>1052166.6666666667</v>
      </c>
    </row>
    <row r="18" spans="1:17" x14ac:dyDescent="0.2">
      <c r="A18" s="9" t="s">
        <v>81</v>
      </c>
      <c r="B18" s="20">
        <f>+KTBL!F87</f>
        <v>101</v>
      </c>
      <c r="C18" s="83">
        <f t="shared" ref="C18:C19" si="2">+B18*$B$14</f>
        <v>10807000</v>
      </c>
      <c r="D18" s="101">
        <v>0.2</v>
      </c>
      <c r="E18" s="83">
        <f t="shared" ref="E18:E19" si="3">+C18*(1-D18)</f>
        <v>8645600</v>
      </c>
      <c r="F18" s="31"/>
      <c r="H18" s="5">
        <v>15</v>
      </c>
      <c r="I18" s="79">
        <f t="shared" ref="I18:I19" si="4">1/H18</f>
        <v>6.6666666666666666E-2</v>
      </c>
      <c r="J18" s="74">
        <f t="shared" ref="J18:J19" si="5">+I18*C18</f>
        <v>720466.66666666663</v>
      </c>
    </row>
    <row r="19" spans="1:17" x14ac:dyDescent="0.2">
      <c r="A19" s="9" t="s">
        <v>82</v>
      </c>
      <c r="B19" s="20">
        <f>+KTBL!F88</f>
        <v>85</v>
      </c>
      <c r="C19" s="83">
        <f t="shared" si="2"/>
        <v>9095000</v>
      </c>
      <c r="D19" s="101">
        <v>0.05</v>
      </c>
      <c r="E19" s="83">
        <f t="shared" si="3"/>
        <v>8640250</v>
      </c>
      <c r="F19" s="31"/>
      <c r="H19" s="5">
        <v>10</v>
      </c>
      <c r="I19" s="79">
        <f t="shared" si="4"/>
        <v>0.1</v>
      </c>
      <c r="J19" s="74">
        <f t="shared" si="5"/>
        <v>909500</v>
      </c>
    </row>
    <row r="20" spans="1:17" x14ac:dyDescent="0.2">
      <c r="A20" s="14" t="s">
        <v>40</v>
      </c>
      <c r="B20" s="25">
        <f>SUM(B17:B19)</f>
        <v>481</v>
      </c>
      <c r="C20" s="84">
        <f>SUM(C17:C19)</f>
        <v>51467000</v>
      </c>
      <c r="D20" s="80"/>
      <c r="E20" s="84">
        <f>SUM(E17:E19)</f>
        <v>39381350</v>
      </c>
      <c r="F20" s="31"/>
      <c r="H20" s="6"/>
      <c r="I20" s="15"/>
      <c r="J20" s="34"/>
      <c r="M20" s="162">
        <f>+C20+C12</f>
        <v>116006000</v>
      </c>
      <c r="N20" s="163">
        <f>+M20/B6</f>
        <v>5742.8712871287125</v>
      </c>
      <c r="O20" s="164" t="s">
        <v>179</v>
      </c>
      <c r="P20" s="164"/>
      <c r="Q20" s="165"/>
    </row>
    <row r="21" spans="1:17" x14ac:dyDescent="0.2">
      <c r="A21" s="5"/>
      <c r="F21" s="31"/>
      <c r="H21" s="5"/>
      <c r="J21" s="31"/>
    </row>
    <row r="22" spans="1:17" x14ac:dyDescent="0.2">
      <c r="A22" s="94" t="s">
        <v>180</v>
      </c>
      <c r="B22" s="95">
        <f>+Loomakohad!D29</f>
        <v>207000</v>
      </c>
      <c r="C22" s="95" t="s">
        <v>115</v>
      </c>
      <c r="D22" s="4"/>
      <c r="E22" s="22"/>
      <c r="F22" s="31"/>
      <c r="H22" s="5"/>
      <c r="J22" s="31"/>
    </row>
    <row r="23" spans="1:17" x14ac:dyDescent="0.2">
      <c r="A23" s="5"/>
      <c r="E23" s="31"/>
      <c r="F23" s="31"/>
      <c r="H23" s="5"/>
      <c r="J23" s="31"/>
    </row>
    <row r="24" spans="1:17" x14ac:dyDescent="0.2">
      <c r="A24" s="12" t="s">
        <v>173</v>
      </c>
      <c r="B24" s="12" t="s">
        <v>155</v>
      </c>
      <c r="C24" s="12" t="s">
        <v>156</v>
      </c>
      <c r="D24" s="12" t="s">
        <v>174</v>
      </c>
      <c r="E24" s="12" t="s">
        <v>175</v>
      </c>
      <c r="F24" s="31"/>
      <c r="H24" s="5"/>
      <c r="J24" s="31"/>
    </row>
    <row r="25" spans="1:17" x14ac:dyDescent="0.2">
      <c r="A25" s="9" t="s">
        <v>80</v>
      </c>
      <c r="B25" s="81">
        <f>+KTBL!F129</f>
        <v>477</v>
      </c>
      <c r="C25" s="83">
        <f>+B25*$B$22</f>
        <v>98739000</v>
      </c>
      <c r="D25" s="100">
        <v>0.4</v>
      </c>
      <c r="E25" s="83">
        <f t="shared" ref="E25:E27" si="6">+C25*(1-D25)</f>
        <v>59243400</v>
      </c>
      <c r="F25" s="31"/>
      <c r="H25" s="3">
        <v>30</v>
      </c>
      <c r="I25" s="98">
        <f>1/H25</f>
        <v>3.3333333333333333E-2</v>
      </c>
      <c r="J25" s="75">
        <f>+I25*C25</f>
        <v>3291300</v>
      </c>
    </row>
    <row r="26" spans="1:17" x14ac:dyDescent="0.2">
      <c r="A26" s="9" t="s">
        <v>81</v>
      </c>
      <c r="B26" s="81">
        <f>+KTBL!F130</f>
        <v>212</v>
      </c>
      <c r="C26" s="83">
        <f t="shared" ref="C26:C27" si="7">+B26*$B$22</f>
        <v>43884000</v>
      </c>
      <c r="D26" s="100">
        <v>0.3</v>
      </c>
      <c r="E26" s="83">
        <f t="shared" si="6"/>
        <v>30718799.999999996</v>
      </c>
      <c r="F26" s="31"/>
      <c r="H26" s="5">
        <v>15</v>
      </c>
      <c r="I26" s="79">
        <f t="shared" ref="I26:I27" si="8">1/H26</f>
        <v>6.6666666666666666E-2</v>
      </c>
      <c r="J26" s="74">
        <f t="shared" ref="J26:J27" si="9">+I26*C26</f>
        <v>2925600</v>
      </c>
    </row>
    <row r="27" spans="1:17" x14ac:dyDescent="0.2">
      <c r="A27" s="9" t="s">
        <v>82</v>
      </c>
      <c r="B27" s="81">
        <f>+KTBL!F131</f>
        <v>89</v>
      </c>
      <c r="C27" s="83">
        <f t="shared" si="7"/>
        <v>18423000</v>
      </c>
      <c r="D27" s="100">
        <v>0.1</v>
      </c>
      <c r="E27" s="83">
        <f t="shared" si="6"/>
        <v>16580700</v>
      </c>
      <c r="F27" s="31"/>
      <c r="H27" s="5">
        <v>10</v>
      </c>
      <c r="I27" s="79">
        <f t="shared" si="8"/>
        <v>0.1</v>
      </c>
      <c r="J27" s="74">
        <f t="shared" si="9"/>
        <v>1842300</v>
      </c>
    </row>
    <row r="28" spans="1:17" x14ac:dyDescent="0.2">
      <c r="A28" s="14" t="s">
        <v>40</v>
      </c>
      <c r="B28" s="82">
        <f>SUM(B25:B27)</f>
        <v>778</v>
      </c>
      <c r="C28" s="84">
        <f>SUM(C25:C27)</f>
        <v>161046000</v>
      </c>
      <c r="D28" s="86"/>
      <c r="E28" s="84">
        <f>SUM(E25:E27)</f>
        <v>106542900</v>
      </c>
      <c r="F28" s="31"/>
      <c r="H28" s="6"/>
      <c r="I28" s="80"/>
      <c r="J28" s="39"/>
    </row>
    <row r="29" spans="1:17" x14ac:dyDescent="0.2">
      <c r="A29" s="5"/>
      <c r="F29" s="31"/>
      <c r="H29" s="5"/>
      <c r="J29" s="31"/>
    </row>
    <row r="30" spans="1:17" x14ac:dyDescent="0.2">
      <c r="A30" s="76" t="s">
        <v>181</v>
      </c>
      <c r="B30" s="77" t="s">
        <v>182</v>
      </c>
      <c r="C30" s="87">
        <f>SUM(C25:C27,C17:C19,C9:C11)</f>
        <v>277052000</v>
      </c>
      <c r="D30" s="77"/>
      <c r="E30" s="88"/>
      <c r="F30" s="31"/>
      <c r="H30" s="3" t="s">
        <v>40</v>
      </c>
      <c r="I30" s="4" t="s">
        <v>182</v>
      </c>
      <c r="J30" s="75">
        <f>SUM(J9:J29)</f>
        <v>14325486.666666668</v>
      </c>
    </row>
    <row r="31" spans="1:17" x14ac:dyDescent="0.2">
      <c r="A31" s="89" t="s">
        <v>183</v>
      </c>
      <c r="B31" s="90" t="s">
        <v>182</v>
      </c>
      <c r="C31" s="90"/>
      <c r="D31" s="90"/>
      <c r="E31" s="189">
        <f>SUM(E25:E27,E17:E19,E9:E11)</f>
        <v>197786740</v>
      </c>
      <c r="F31" s="31"/>
      <c r="H31" s="5" t="s">
        <v>184</v>
      </c>
      <c r="I31" t="s">
        <v>113</v>
      </c>
      <c r="J31" s="74">
        <f>+Loomakohad!C5</f>
        <v>52800000</v>
      </c>
    </row>
    <row r="32" spans="1:17" x14ac:dyDescent="0.2">
      <c r="A32" s="5"/>
      <c r="E32" s="169">
        <f>+E31/C30</f>
        <v>0.713897535480704</v>
      </c>
      <c r="F32" s="31"/>
      <c r="H32" s="89" t="s">
        <v>185</v>
      </c>
      <c r="I32" s="90" t="s">
        <v>186</v>
      </c>
      <c r="J32" s="99">
        <f>+J30/J31</f>
        <v>0.27131603535353538</v>
      </c>
      <c r="N32" s="1"/>
    </row>
    <row r="33" spans="1:19" x14ac:dyDescent="0.2">
      <c r="A33" s="5"/>
      <c r="E33" s="79"/>
      <c r="F33" s="31"/>
      <c r="H33" s="5"/>
      <c r="J33" s="31"/>
    </row>
    <row r="34" spans="1:19" x14ac:dyDescent="0.2">
      <c r="A34" s="5"/>
      <c r="F34" s="31"/>
      <c r="H34" s="5"/>
      <c r="J34" s="31"/>
    </row>
    <row r="35" spans="1:19" x14ac:dyDescent="0.2">
      <c r="A35" s="94" t="s">
        <v>160</v>
      </c>
      <c r="B35" s="95">
        <f>+INVEST!C43</f>
        <v>573740</v>
      </c>
      <c r="C35" s="95" t="s">
        <v>162</v>
      </c>
      <c r="D35" s="95"/>
      <c r="E35" s="96"/>
      <c r="F35" s="31"/>
      <c r="H35" s="5"/>
      <c r="J35" s="31"/>
    </row>
    <row r="36" spans="1:19" x14ac:dyDescent="0.2">
      <c r="A36" s="6"/>
      <c r="B36" s="15"/>
      <c r="C36" s="15"/>
      <c r="D36" s="15"/>
      <c r="E36" s="34"/>
      <c r="F36" s="31"/>
      <c r="H36" s="5"/>
      <c r="J36" s="31"/>
    </row>
    <row r="37" spans="1:19" x14ac:dyDescent="0.2">
      <c r="A37" s="12" t="s">
        <v>173</v>
      </c>
      <c r="B37" s="12" t="s">
        <v>163</v>
      </c>
      <c r="C37" s="12" t="s">
        <v>156</v>
      </c>
      <c r="D37" s="12" t="s">
        <v>174</v>
      </c>
      <c r="E37" s="12" t="s">
        <v>175</v>
      </c>
      <c r="F37" s="31"/>
      <c r="H37" s="5"/>
      <c r="J37" s="31"/>
    </row>
    <row r="38" spans="1:19" x14ac:dyDescent="0.2">
      <c r="A38" s="8" t="s">
        <v>80</v>
      </c>
      <c r="B38" s="8">
        <f>+HOIDLAD!G22</f>
        <v>33</v>
      </c>
      <c r="C38" s="91">
        <f>+B38*$B$35</f>
        <v>18933420</v>
      </c>
      <c r="D38" s="102">
        <v>0.5</v>
      </c>
      <c r="E38" s="83">
        <f t="shared" ref="E38:E40" si="10">+C38*(1-D38)</f>
        <v>9466710</v>
      </c>
      <c r="F38" s="31"/>
      <c r="H38" s="3">
        <v>30</v>
      </c>
      <c r="I38" s="98">
        <f>1/H38</f>
        <v>3.3333333333333333E-2</v>
      </c>
      <c r="J38" s="75">
        <f>+I38*C38</f>
        <v>631114</v>
      </c>
    </row>
    <row r="39" spans="1:19" x14ac:dyDescent="0.2">
      <c r="A39" s="9" t="s">
        <v>81</v>
      </c>
      <c r="B39" s="9">
        <f>+HOIDLAD!G23</f>
        <v>12</v>
      </c>
      <c r="C39" s="83">
        <f t="shared" ref="C39:C40" si="11">+B39*$B$35</f>
        <v>6884880</v>
      </c>
      <c r="D39" s="100">
        <v>0.05</v>
      </c>
      <c r="E39" s="83">
        <f t="shared" si="10"/>
        <v>6540636</v>
      </c>
      <c r="F39" s="31"/>
      <c r="H39" s="5">
        <v>15</v>
      </c>
      <c r="I39" s="79">
        <f t="shared" ref="I39:I40" si="12">1/H39</f>
        <v>6.6666666666666666E-2</v>
      </c>
      <c r="J39" s="74">
        <f t="shared" ref="J39:J40" si="13">+I39*C39</f>
        <v>458992</v>
      </c>
    </row>
    <row r="40" spans="1:19" x14ac:dyDescent="0.2">
      <c r="A40" s="9" t="s">
        <v>82</v>
      </c>
      <c r="B40" s="9">
        <f>+HOIDLAD!G24</f>
        <v>10</v>
      </c>
      <c r="C40" s="83">
        <f t="shared" si="11"/>
        <v>5737400</v>
      </c>
      <c r="D40" s="100">
        <v>0.1</v>
      </c>
      <c r="E40" s="83">
        <f t="shared" si="10"/>
        <v>5163660</v>
      </c>
      <c r="F40" s="31"/>
      <c r="H40" s="5">
        <v>10</v>
      </c>
      <c r="I40" s="79">
        <f t="shared" si="12"/>
        <v>0.1</v>
      </c>
      <c r="J40" s="74">
        <f t="shared" si="13"/>
        <v>573740</v>
      </c>
    </row>
    <row r="41" spans="1:19" x14ac:dyDescent="0.2">
      <c r="A41" s="9"/>
      <c r="B41" s="9"/>
      <c r="C41" s="83"/>
      <c r="D41" s="85"/>
      <c r="E41" s="83"/>
      <c r="F41" s="31"/>
      <c r="H41" s="6"/>
      <c r="I41" s="15"/>
      <c r="J41" s="34"/>
    </row>
    <row r="42" spans="1:19" x14ac:dyDescent="0.2">
      <c r="A42" s="92" t="s">
        <v>40</v>
      </c>
      <c r="B42" s="92">
        <f>SUM(B38:B40)</f>
        <v>55</v>
      </c>
      <c r="C42" s="93">
        <f>SUM(C38:C40)</f>
        <v>31555700</v>
      </c>
      <c r="D42" s="92"/>
      <c r="E42" s="93">
        <f>SUM(E38:E40)</f>
        <v>21171006</v>
      </c>
      <c r="F42" s="31"/>
      <c r="H42" s="3" t="s">
        <v>40</v>
      </c>
      <c r="I42" s="4" t="s">
        <v>182</v>
      </c>
      <c r="J42" s="75">
        <f>SUM(J38:J41)</f>
        <v>1663846</v>
      </c>
    </row>
    <row r="43" spans="1:19" x14ac:dyDescent="0.2">
      <c r="A43" s="5"/>
      <c r="E43" s="79">
        <f>+E42/C42</f>
        <v>0.6709090909090909</v>
      </c>
      <c r="F43" s="31"/>
      <c r="H43" s="5" t="s">
        <v>184</v>
      </c>
      <c r="I43" t="s">
        <v>113</v>
      </c>
      <c r="J43" s="74">
        <f>+J31</f>
        <v>52800000</v>
      </c>
    </row>
    <row r="44" spans="1:19" x14ac:dyDescent="0.2">
      <c r="A44" s="5"/>
      <c r="E44" s="79"/>
      <c r="F44" s="31"/>
      <c r="H44" s="89" t="s">
        <v>185</v>
      </c>
      <c r="I44" s="90" t="s">
        <v>186</v>
      </c>
      <c r="J44" s="99">
        <f>+J42/J43</f>
        <v>3.1512234848484852E-2</v>
      </c>
    </row>
    <row r="45" spans="1:19" x14ac:dyDescent="0.2">
      <c r="A45" s="76" t="s">
        <v>187</v>
      </c>
      <c r="B45" s="77" t="s">
        <v>182</v>
      </c>
      <c r="C45" s="77"/>
      <c r="D45" s="77"/>
      <c r="E45" s="210">
        <f>+E42+E31</f>
        <v>218957746</v>
      </c>
      <c r="F45" s="31"/>
      <c r="M45" s="3" t="s">
        <v>188</v>
      </c>
      <c r="N45" s="4"/>
      <c r="O45" s="98">
        <v>0.5</v>
      </c>
      <c r="P45" s="4"/>
      <c r="Q45" s="75">
        <f>+O45*E45</f>
        <v>109478873</v>
      </c>
    </row>
    <row r="46" spans="1:19" x14ac:dyDescent="0.2">
      <c r="A46" s="6"/>
      <c r="B46" s="97"/>
      <c r="C46" s="15"/>
      <c r="D46" s="15"/>
      <c r="E46" s="15"/>
      <c r="F46" s="34"/>
      <c r="M46" s="5" t="s">
        <v>189</v>
      </c>
      <c r="O46" s="105">
        <f>1-O45</f>
        <v>0.5</v>
      </c>
      <c r="Q46" s="74">
        <f>+O46*E45</f>
        <v>109478873</v>
      </c>
    </row>
    <row r="47" spans="1:19" x14ac:dyDescent="0.2">
      <c r="M47" s="76" t="s">
        <v>8</v>
      </c>
      <c r="N47" s="77"/>
      <c r="O47" s="168">
        <v>3.5000000000000003E-2</v>
      </c>
      <c r="P47" s="77"/>
      <c r="Q47" s="78">
        <f>+Q46*O47</f>
        <v>3831760.5550000002</v>
      </c>
      <c r="R47" s="106">
        <f>+Q47/J43</f>
        <v>7.257122263257576E-2</v>
      </c>
      <c r="S47" s="88" t="s">
        <v>186</v>
      </c>
    </row>
    <row r="49" spans="1:10" ht="19" x14ac:dyDescent="0.25">
      <c r="A49" s="42" t="s">
        <v>190</v>
      </c>
    </row>
    <row r="50" spans="1:10" ht="19" x14ac:dyDescent="0.25">
      <c r="A50" s="42" t="s">
        <v>191</v>
      </c>
    </row>
    <row r="51" spans="1:10" x14ac:dyDescent="0.2">
      <c r="A51" s="3"/>
      <c r="B51" s="4"/>
      <c r="C51" s="4"/>
      <c r="D51" s="4"/>
      <c r="E51" s="4"/>
      <c r="F51" s="22"/>
    </row>
    <row r="52" spans="1:10" x14ac:dyDescent="0.2">
      <c r="A52" s="76" t="s">
        <v>172</v>
      </c>
      <c r="B52" s="77">
        <f>+B6</f>
        <v>20200</v>
      </c>
      <c r="C52" s="77" t="s">
        <v>115</v>
      </c>
      <c r="D52" s="13"/>
      <c r="E52" s="41"/>
      <c r="F52" s="31"/>
    </row>
    <row r="53" spans="1:10" x14ac:dyDescent="0.2">
      <c r="A53" s="3"/>
      <c r="B53" s="4"/>
      <c r="C53" s="4"/>
      <c r="D53" s="4"/>
      <c r="E53" s="22"/>
      <c r="F53" s="31"/>
      <c r="H53" t="s">
        <v>0</v>
      </c>
    </row>
    <row r="54" spans="1:10" x14ac:dyDescent="0.2">
      <c r="A54" s="11" t="s">
        <v>173</v>
      </c>
      <c r="B54" s="12" t="s">
        <v>155</v>
      </c>
      <c r="C54" s="12" t="s">
        <v>156</v>
      </c>
      <c r="D54" s="12" t="s">
        <v>174</v>
      </c>
      <c r="E54" s="12" t="s">
        <v>175</v>
      </c>
      <c r="F54" s="31"/>
      <c r="H54" s="11" t="s">
        <v>176</v>
      </c>
      <c r="I54" s="13" t="s">
        <v>141</v>
      </c>
      <c r="J54" s="41" t="s">
        <v>177</v>
      </c>
    </row>
    <row r="55" spans="1:10" x14ac:dyDescent="0.2">
      <c r="A55" s="5" t="s">
        <v>80</v>
      </c>
      <c r="B55" s="81">
        <f>+KTBL!W41</f>
        <v>3557</v>
      </c>
      <c r="C55" s="83">
        <f>+B55*$B$6</f>
        <v>71851400</v>
      </c>
      <c r="D55" s="100">
        <v>0.1</v>
      </c>
      <c r="E55" s="83">
        <f>+C55*(1-D55)</f>
        <v>64666260</v>
      </c>
      <c r="F55" s="31"/>
      <c r="H55" s="3">
        <v>30</v>
      </c>
      <c r="I55" s="98">
        <f>1/H55</f>
        <v>3.3333333333333333E-2</v>
      </c>
      <c r="J55" s="75">
        <f>+I55*C55</f>
        <v>2395046.6666666665</v>
      </c>
    </row>
    <row r="56" spans="1:10" x14ac:dyDescent="0.2">
      <c r="A56" s="5" t="s">
        <v>81</v>
      </c>
      <c r="B56" s="81">
        <f>+KTBL!W42</f>
        <v>697</v>
      </c>
      <c r="C56" s="83">
        <f>+B56*$B$6</f>
        <v>14079400</v>
      </c>
      <c r="D56" s="100">
        <v>0</v>
      </c>
      <c r="E56" s="83">
        <f>+C56*(1-D56)</f>
        <v>14079400</v>
      </c>
      <c r="F56" s="31"/>
      <c r="H56" s="5">
        <v>15</v>
      </c>
      <c r="I56" s="79">
        <f t="shared" ref="I56:I57" si="14">1/H56</f>
        <v>6.6666666666666666E-2</v>
      </c>
      <c r="J56" s="74">
        <f t="shared" ref="J56:J57" si="15">+I56*C56</f>
        <v>938626.66666666663</v>
      </c>
    </row>
    <row r="57" spans="1:10" x14ac:dyDescent="0.2">
      <c r="A57" s="5" t="s">
        <v>82</v>
      </c>
      <c r="B57" s="81">
        <f>+KTBL!W43</f>
        <v>1481</v>
      </c>
      <c r="C57" s="83">
        <f>+B57*$B$6</f>
        <v>29916200</v>
      </c>
      <c r="D57" s="100">
        <v>0</v>
      </c>
      <c r="E57" s="83">
        <f>+C57*(1-D57)</f>
        <v>29916200</v>
      </c>
      <c r="F57" s="31"/>
      <c r="H57" s="5">
        <v>10</v>
      </c>
      <c r="I57" s="79">
        <f t="shared" si="14"/>
        <v>0.1</v>
      </c>
      <c r="J57" s="74">
        <f t="shared" si="15"/>
        <v>2991620</v>
      </c>
    </row>
    <row r="58" spans="1:10" x14ac:dyDescent="0.2">
      <c r="A58" s="6" t="s">
        <v>40</v>
      </c>
      <c r="B58" s="82">
        <f>SUM(B55:B57)</f>
        <v>5735</v>
      </c>
      <c r="C58" s="84">
        <f>SUM(C55:C57)</f>
        <v>115847000</v>
      </c>
      <c r="D58" s="86"/>
      <c r="E58" s="84">
        <f>SUM(E55:E57)</f>
        <v>108661860</v>
      </c>
      <c r="F58" s="31"/>
      <c r="H58" s="6"/>
      <c r="I58" s="80"/>
      <c r="J58" s="39"/>
    </row>
    <row r="59" spans="1:10" x14ac:dyDescent="0.2">
      <c r="A59" s="5"/>
      <c r="B59" s="20"/>
      <c r="F59" s="31"/>
      <c r="H59" s="5"/>
      <c r="J59" s="31"/>
    </row>
    <row r="60" spans="1:10" x14ac:dyDescent="0.2">
      <c r="A60" s="76" t="s">
        <v>178</v>
      </c>
      <c r="B60" s="77">
        <f>+B14</f>
        <v>107000</v>
      </c>
      <c r="C60" s="77" t="s">
        <v>115</v>
      </c>
      <c r="D60" s="13"/>
      <c r="E60" s="41"/>
      <c r="F60" s="31"/>
      <c r="H60" s="5"/>
      <c r="J60" s="31"/>
    </row>
    <row r="61" spans="1:10" x14ac:dyDescent="0.2">
      <c r="A61" s="5"/>
      <c r="E61" s="31"/>
      <c r="F61" s="31"/>
      <c r="H61" s="5"/>
      <c r="J61" s="31"/>
    </row>
    <row r="62" spans="1:10" x14ac:dyDescent="0.2">
      <c r="A62" s="12" t="s">
        <v>173</v>
      </c>
      <c r="B62" s="13" t="s">
        <v>155</v>
      </c>
      <c r="C62" s="12" t="s">
        <v>156</v>
      </c>
      <c r="D62" s="13" t="s">
        <v>174</v>
      </c>
      <c r="E62" s="12" t="s">
        <v>175</v>
      </c>
      <c r="F62" s="31"/>
      <c r="H62" s="5"/>
      <c r="J62" s="31"/>
    </row>
    <row r="63" spans="1:10" x14ac:dyDescent="0.2">
      <c r="A63" s="9" t="s">
        <v>80</v>
      </c>
      <c r="B63" s="20">
        <f>+KTBL!F86</f>
        <v>295</v>
      </c>
      <c r="C63" s="83">
        <f>+B63*$B$14</f>
        <v>31565000</v>
      </c>
      <c r="D63" s="101">
        <v>0.3</v>
      </c>
      <c r="E63" s="83">
        <f t="shared" ref="E63:E65" si="16">+C63*(1-D63)</f>
        <v>22095500</v>
      </c>
      <c r="F63" s="31"/>
      <c r="H63" s="3">
        <v>30</v>
      </c>
      <c r="I63" s="98">
        <f>1/H63</f>
        <v>3.3333333333333333E-2</v>
      </c>
      <c r="J63" s="75">
        <f>+I63*C63</f>
        <v>1052166.6666666667</v>
      </c>
    </row>
    <row r="64" spans="1:10" x14ac:dyDescent="0.2">
      <c r="A64" s="9" t="s">
        <v>81</v>
      </c>
      <c r="B64" s="20">
        <f>+KTBL!F87</f>
        <v>101</v>
      </c>
      <c r="C64" s="83">
        <f t="shared" ref="C64:C65" si="17">+B64*$B$14</f>
        <v>10807000</v>
      </c>
      <c r="D64" s="101">
        <v>0.2</v>
      </c>
      <c r="E64" s="83">
        <f t="shared" si="16"/>
        <v>8645600</v>
      </c>
      <c r="F64" s="31"/>
      <c r="H64" s="5">
        <v>15</v>
      </c>
      <c r="I64" s="79">
        <f t="shared" ref="I64:I65" si="18">1/H64</f>
        <v>6.6666666666666666E-2</v>
      </c>
      <c r="J64" s="74">
        <f t="shared" ref="J64:J65" si="19">+I64*C64</f>
        <v>720466.66666666663</v>
      </c>
    </row>
    <row r="65" spans="1:17" x14ac:dyDescent="0.2">
      <c r="A65" s="9" t="s">
        <v>82</v>
      </c>
      <c r="B65" s="20">
        <f>+KTBL!F88</f>
        <v>85</v>
      </c>
      <c r="C65" s="83">
        <f t="shared" si="17"/>
        <v>9095000</v>
      </c>
      <c r="D65" s="101">
        <v>0.05</v>
      </c>
      <c r="E65" s="83">
        <f t="shared" si="16"/>
        <v>8640250</v>
      </c>
      <c r="F65" s="31"/>
      <c r="H65" s="5">
        <v>10</v>
      </c>
      <c r="I65" s="79">
        <f t="shared" si="18"/>
        <v>0.1</v>
      </c>
      <c r="J65" s="74">
        <f t="shared" si="19"/>
        <v>909500</v>
      </c>
    </row>
    <row r="66" spans="1:17" x14ac:dyDescent="0.2">
      <c r="A66" s="14" t="s">
        <v>40</v>
      </c>
      <c r="B66" s="25">
        <f>SUM(B63:B65)</f>
        <v>481</v>
      </c>
      <c r="C66" s="84">
        <f>SUM(C63:C65)</f>
        <v>51467000</v>
      </c>
      <c r="D66" s="80"/>
      <c r="E66" s="84">
        <f>SUM(E63:E65)</f>
        <v>39381350</v>
      </c>
      <c r="F66" s="31"/>
      <c r="H66" s="6"/>
      <c r="I66" s="15"/>
      <c r="J66" s="34"/>
      <c r="M66" s="162">
        <f>+C66+C58</f>
        <v>167314000</v>
      </c>
      <c r="N66" s="163">
        <f>+M66/B52</f>
        <v>8282.8712871287134</v>
      </c>
      <c r="O66" s="164" t="s">
        <v>179</v>
      </c>
      <c r="P66" s="164"/>
      <c r="Q66" s="165"/>
    </row>
    <row r="67" spans="1:17" x14ac:dyDescent="0.2">
      <c r="A67" s="5"/>
      <c r="F67" s="31"/>
      <c r="H67" s="5"/>
      <c r="J67" s="31"/>
    </row>
    <row r="68" spans="1:17" x14ac:dyDescent="0.2">
      <c r="A68" s="94" t="s">
        <v>180</v>
      </c>
      <c r="B68" s="95">
        <f>+B22</f>
        <v>207000</v>
      </c>
      <c r="C68" s="95" t="s">
        <v>115</v>
      </c>
      <c r="D68" s="4"/>
      <c r="E68" s="22"/>
      <c r="F68" s="31"/>
      <c r="H68" s="5"/>
      <c r="J68" s="31"/>
    </row>
    <row r="69" spans="1:17" x14ac:dyDescent="0.2">
      <c r="A69" s="5"/>
      <c r="E69" s="31"/>
      <c r="F69" s="31"/>
      <c r="H69" s="5"/>
      <c r="J69" s="31"/>
    </row>
    <row r="70" spans="1:17" x14ac:dyDescent="0.2">
      <c r="A70" s="12" t="s">
        <v>173</v>
      </c>
      <c r="B70" s="12" t="s">
        <v>155</v>
      </c>
      <c r="C70" s="12" t="s">
        <v>156</v>
      </c>
      <c r="D70" s="12" t="s">
        <v>174</v>
      </c>
      <c r="E70" s="12" t="s">
        <v>175</v>
      </c>
      <c r="F70" s="31"/>
      <c r="H70" s="5"/>
      <c r="J70" s="31"/>
    </row>
    <row r="71" spans="1:17" x14ac:dyDescent="0.2">
      <c r="A71" s="9" t="s">
        <v>80</v>
      </c>
      <c r="B71" s="81">
        <f>+KTBL!F129</f>
        <v>477</v>
      </c>
      <c r="C71" s="83">
        <f>+B71*$B$22</f>
        <v>98739000</v>
      </c>
      <c r="D71" s="100">
        <v>0.4</v>
      </c>
      <c r="E71" s="83">
        <f t="shared" ref="E71:E73" si="20">+C71*(1-D71)</f>
        <v>59243400</v>
      </c>
      <c r="F71" s="31"/>
      <c r="H71" s="3">
        <v>30</v>
      </c>
      <c r="I71" s="98">
        <f>1/H71</f>
        <v>3.3333333333333333E-2</v>
      </c>
      <c r="J71" s="75">
        <f>+I71*C71</f>
        <v>3291300</v>
      </c>
    </row>
    <row r="72" spans="1:17" x14ac:dyDescent="0.2">
      <c r="A72" s="9" t="s">
        <v>81</v>
      </c>
      <c r="B72" s="81">
        <f>+KTBL!F130</f>
        <v>212</v>
      </c>
      <c r="C72" s="83">
        <f t="shared" ref="C72:C73" si="21">+B72*$B$22</f>
        <v>43884000</v>
      </c>
      <c r="D72" s="100">
        <v>0.3</v>
      </c>
      <c r="E72" s="83">
        <f t="shared" si="20"/>
        <v>30718799.999999996</v>
      </c>
      <c r="F72" s="31"/>
      <c r="H72" s="5">
        <v>15</v>
      </c>
      <c r="I72" s="79">
        <f t="shared" ref="I72:I73" si="22">1/H72</f>
        <v>6.6666666666666666E-2</v>
      </c>
      <c r="J72" s="74">
        <f t="shared" ref="J72:J73" si="23">+I72*C72</f>
        <v>2925600</v>
      </c>
    </row>
    <row r="73" spans="1:17" x14ac:dyDescent="0.2">
      <c r="A73" s="9" t="s">
        <v>82</v>
      </c>
      <c r="B73" s="81">
        <f>+KTBL!F131</f>
        <v>89</v>
      </c>
      <c r="C73" s="83">
        <f t="shared" si="21"/>
        <v>18423000</v>
      </c>
      <c r="D73" s="100">
        <v>0.1</v>
      </c>
      <c r="E73" s="83">
        <f t="shared" si="20"/>
        <v>16580700</v>
      </c>
      <c r="F73" s="31"/>
      <c r="H73" s="5">
        <v>10</v>
      </c>
      <c r="I73" s="79">
        <f t="shared" si="22"/>
        <v>0.1</v>
      </c>
      <c r="J73" s="74">
        <f t="shared" si="23"/>
        <v>1842300</v>
      </c>
    </row>
    <row r="74" spans="1:17" x14ac:dyDescent="0.2">
      <c r="A74" s="14" t="s">
        <v>40</v>
      </c>
      <c r="B74" s="82">
        <f>SUM(B71:B73)</f>
        <v>778</v>
      </c>
      <c r="C74" s="84">
        <f>SUM(C71:C73)</f>
        <v>161046000</v>
      </c>
      <c r="D74" s="86"/>
      <c r="E74" s="84">
        <f>SUM(E71:E73)</f>
        <v>106542900</v>
      </c>
      <c r="F74" s="31"/>
      <c r="H74" s="6"/>
      <c r="I74" s="80"/>
      <c r="J74" s="39"/>
    </row>
    <row r="75" spans="1:17" x14ac:dyDescent="0.2">
      <c r="A75" s="5"/>
      <c r="F75" s="31"/>
      <c r="H75" s="5"/>
      <c r="J75" s="31"/>
    </row>
    <row r="76" spans="1:17" x14ac:dyDescent="0.2">
      <c r="A76" s="76" t="s">
        <v>181</v>
      </c>
      <c r="B76" s="77" t="s">
        <v>182</v>
      </c>
      <c r="C76" s="87">
        <f>SUM(C71:C73,C63:C65,C55:C57)</f>
        <v>328360000</v>
      </c>
      <c r="D76" s="77"/>
      <c r="E76" s="88"/>
      <c r="F76" s="31"/>
      <c r="H76" s="3" t="s">
        <v>40</v>
      </c>
      <c r="I76" s="4" t="s">
        <v>182</v>
      </c>
      <c r="J76" s="75">
        <f>SUM(J55:J75)</f>
        <v>17066626.666666668</v>
      </c>
    </row>
    <row r="77" spans="1:17" x14ac:dyDescent="0.2">
      <c r="A77" s="89" t="s">
        <v>183</v>
      </c>
      <c r="B77" s="90" t="s">
        <v>182</v>
      </c>
      <c r="C77" s="90"/>
      <c r="D77" s="90"/>
      <c r="E77" s="189">
        <f>SUM(E71:E73,E63:E65,E55:E57)</f>
        <v>254586110</v>
      </c>
      <c r="F77" s="31"/>
      <c r="H77" s="5" t="s">
        <v>184</v>
      </c>
      <c r="I77" t="s">
        <v>113</v>
      </c>
      <c r="J77" s="74">
        <f>+Loomakohad!C5</f>
        <v>52800000</v>
      </c>
    </row>
    <row r="78" spans="1:17" x14ac:dyDescent="0.2">
      <c r="A78" s="5"/>
      <c r="E78" s="79">
        <f>+E77/C76</f>
        <v>0.77532619685710802</v>
      </c>
      <c r="F78" s="31"/>
      <c r="H78" s="89" t="s">
        <v>185</v>
      </c>
      <c r="I78" s="90" t="s">
        <v>186</v>
      </c>
      <c r="J78" s="99">
        <f>+J76/J77</f>
        <v>0.32323156565656569</v>
      </c>
    </row>
    <row r="79" spans="1:17" x14ac:dyDescent="0.2">
      <c r="A79" s="5"/>
      <c r="E79" s="79"/>
      <c r="F79" s="31"/>
      <c r="H79" s="5"/>
      <c r="J79" s="31"/>
    </row>
    <row r="80" spans="1:17" x14ac:dyDescent="0.2">
      <c r="A80" s="5"/>
      <c r="F80" s="31"/>
      <c r="H80" s="5"/>
      <c r="J80" s="31"/>
    </row>
    <row r="81" spans="1:19" x14ac:dyDescent="0.2">
      <c r="A81" s="94" t="s">
        <v>160</v>
      </c>
      <c r="B81" s="95">
        <f>+INVEST!C89</f>
        <v>0</v>
      </c>
      <c r="C81" s="95" t="s">
        <v>162</v>
      </c>
      <c r="D81" s="95"/>
      <c r="E81" s="96"/>
      <c r="F81" s="31"/>
      <c r="H81" s="5"/>
      <c r="J81" s="31"/>
    </row>
    <row r="82" spans="1:19" x14ac:dyDescent="0.2">
      <c r="A82" s="6"/>
      <c r="B82" s="15"/>
      <c r="C82" s="15"/>
      <c r="D82" s="15"/>
      <c r="E82" s="34"/>
      <c r="F82" s="31"/>
      <c r="H82" s="5"/>
      <c r="J82" s="31"/>
    </row>
    <row r="83" spans="1:19" x14ac:dyDescent="0.2">
      <c r="A83" s="12" t="s">
        <v>173</v>
      </c>
      <c r="B83" s="12" t="s">
        <v>163</v>
      </c>
      <c r="C83" s="12" t="s">
        <v>156</v>
      </c>
      <c r="D83" s="12" t="s">
        <v>174</v>
      </c>
      <c r="E83" s="12" t="s">
        <v>175</v>
      </c>
      <c r="F83" s="31"/>
      <c r="H83" s="5"/>
      <c r="J83" s="31"/>
    </row>
    <row r="84" spans="1:19" x14ac:dyDescent="0.2">
      <c r="A84" s="8" t="s">
        <v>80</v>
      </c>
      <c r="B84" s="8">
        <f>+HOIDLAD!G22</f>
        <v>33</v>
      </c>
      <c r="C84" s="91">
        <f>+B84*$B$35</f>
        <v>18933420</v>
      </c>
      <c r="D84" s="102">
        <v>0.5</v>
      </c>
      <c r="E84" s="83">
        <f t="shared" ref="E84:E86" si="24">+C84*(1-D84)</f>
        <v>9466710</v>
      </c>
      <c r="F84" s="31"/>
      <c r="H84" s="3">
        <v>30</v>
      </c>
      <c r="I84" s="98">
        <f>1/H84</f>
        <v>3.3333333333333333E-2</v>
      </c>
      <c r="J84" s="75">
        <f>+I84*C84</f>
        <v>631114</v>
      </c>
    </row>
    <row r="85" spans="1:19" x14ac:dyDescent="0.2">
      <c r="A85" s="9" t="s">
        <v>81</v>
      </c>
      <c r="B85" s="9">
        <f>+HOIDLAD!G23</f>
        <v>12</v>
      </c>
      <c r="C85" s="83">
        <f t="shared" ref="C85:C86" si="25">+B85*$B$35</f>
        <v>6884880</v>
      </c>
      <c r="D85" s="100">
        <v>0.05</v>
      </c>
      <c r="E85" s="83">
        <f t="shared" si="24"/>
        <v>6540636</v>
      </c>
      <c r="F85" s="31"/>
      <c r="H85" s="5">
        <v>15</v>
      </c>
      <c r="I85" s="79">
        <f t="shared" ref="I85:I86" si="26">1/H85</f>
        <v>6.6666666666666666E-2</v>
      </c>
      <c r="J85" s="74">
        <f t="shared" ref="J85:J86" si="27">+I85*C85</f>
        <v>458992</v>
      </c>
    </row>
    <row r="86" spans="1:19" x14ac:dyDescent="0.2">
      <c r="A86" s="9" t="s">
        <v>82</v>
      </c>
      <c r="B86" s="9">
        <f>+HOIDLAD!G24</f>
        <v>10</v>
      </c>
      <c r="C86" s="83">
        <f t="shared" si="25"/>
        <v>5737400</v>
      </c>
      <c r="D86" s="100">
        <v>0.1</v>
      </c>
      <c r="E86" s="83">
        <f t="shared" si="24"/>
        <v>5163660</v>
      </c>
      <c r="F86" s="31"/>
      <c r="H86" s="5">
        <v>10</v>
      </c>
      <c r="I86" s="79">
        <f t="shared" si="26"/>
        <v>0.1</v>
      </c>
      <c r="J86" s="74">
        <f t="shared" si="27"/>
        <v>573740</v>
      </c>
    </row>
    <row r="87" spans="1:19" x14ac:dyDescent="0.2">
      <c r="A87" s="9"/>
      <c r="B87" s="9"/>
      <c r="C87" s="83"/>
      <c r="D87" s="85"/>
      <c r="E87" s="83"/>
      <c r="F87" s="31"/>
      <c r="H87" s="6"/>
      <c r="I87" s="15"/>
      <c r="J87" s="34"/>
    </row>
    <row r="88" spans="1:19" x14ac:dyDescent="0.2">
      <c r="A88" s="92" t="s">
        <v>40</v>
      </c>
      <c r="B88" s="92">
        <f>SUM(B84:B86)</f>
        <v>55</v>
      </c>
      <c r="C88" s="93">
        <f>SUM(C84:C86)</f>
        <v>31555700</v>
      </c>
      <c r="D88" s="92"/>
      <c r="E88" s="93">
        <f>SUM(E84:E86)</f>
        <v>21171006</v>
      </c>
      <c r="F88" s="31"/>
      <c r="H88" s="3" t="s">
        <v>40</v>
      </c>
      <c r="I88" s="4" t="s">
        <v>182</v>
      </c>
      <c r="J88" s="75">
        <f>SUM(J84:J87)</f>
        <v>1663846</v>
      </c>
    </row>
    <row r="89" spans="1:19" x14ac:dyDescent="0.2">
      <c r="A89" s="5"/>
      <c r="E89" s="79">
        <f>+E88/C88</f>
        <v>0.6709090909090909</v>
      </c>
      <c r="F89" s="31"/>
      <c r="H89" s="5" t="s">
        <v>184</v>
      </c>
      <c r="I89" t="s">
        <v>113</v>
      </c>
      <c r="J89" s="74">
        <f>+J77</f>
        <v>52800000</v>
      </c>
    </row>
    <row r="90" spans="1:19" x14ac:dyDescent="0.2">
      <c r="A90" s="32" t="s">
        <v>192</v>
      </c>
      <c r="E90" s="79"/>
      <c r="F90" s="31"/>
      <c r="H90" s="89" t="s">
        <v>185</v>
      </c>
      <c r="I90" s="90" t="s">
        <v>186</v>
      </c>
      <c r="J90" s="99">
        <f>+J88/J89</f>
        <v>3.1512234848484852E-2</v>
      </c>
    </row>
    <row r="91" spans="1:19" x14ac:dyDescent="0.2">
      <c r="A91" s="76" t="s">
        <v>187</v>
      </c>
      <c r="B91" s="77" t="s">
        <v>182</v>
      </c>
      <c r="C91" s="77"/>
      <c r="D91" s="77"/>
      <c r="E91" s="210">
        <f>+E88+E77</f>
        <v>275757116</v>
      </c>
      <c r="F91" s="31"/>
      <c r="M91" s="3" t="s">
        <v>188</v>
      </c>
      <c r="N91" s="4"/>
      <c r="O91" s="177">
        <v>0.7</v>
      </c>
      <c r="P91" s="4"/>
      <c r="Q91" s="75">
        <f>+O91*E91</f>
        <v>193029981.19999999</v>
      </c>
    </row>
    <row r="92" spans="1:19" x14ac:dyDescent="0.2">
      <c r="A92" s="6"/>
      <c r="B92" s="15"/>
      <c r="C92" s="15"/>
      <c r="D92" s="15"/>
      <c r="E92" s="15"/>
      <c r="F92" s="34"/>
      <c r="M92" s="5" t="s">
        <v>189</v>
      </c>
      <c r="O92" s="105">
        <f>1-O91</f>
        <v>0.30000000000000004</v>
      </c>
      <c r="Q92" s="74">
        <f>+O92*E91</f>
        <v>82727134.800000012</v>
      </c>
    </row>
    <row r="93" spans="1:19" x14ac:dyDescent="0.2">
      <c r="M93" s="76" t="s">
        <v>8</v>
      </c>
      <c r="N93" s="77"/>
      <c r="O93" s="168">
        <v>3.5000000000000003E-2</v>
      </c>
      <c r="P93" s="77"/>
      <c r="Q93" s="78">
        <f>+Q92*O93</f>
        <v>2895449.7180000008</v>
      </c>
      <c r="R93" s="106">
        <f>+Q93/J89</f>
        <v>5.4838062840909106E-2</v>
      </c>
      <c r="S93" s="88" t="s">
        <v>186</v>
      </c>
    </row>
    <row r="94" spans="1:19" x14ac:dyDescent="0.2">
      <c r="E94" s="36">
        <f>E91-E45</f>
        <v>56799370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HOIDLAD</vt:lpstr>
      <vt:lpstr>KTBL</vt:lpstr>
      <vt:lpstr>Loomakohad</vt:lpstr>
      <vt:lpstr>Emisetoodang</vt:lpstr>
      <vt:lpstr>INVEST</vt:lpstr>
      <vt:lpstr>VAJADUS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Hindrek</dc:creator>
  <cp:keywords/>
  <dc:description/>
  <cp:lastModifiedBy>Eesti Tõusigade Aretusühistu</cp:lastModifiedBy>
  <cp:revision/>
  <dcterms:created xsi:type="dcterms:W3CDTF">2015-06-05T18:17:20Z</dcterms:created>
  <dcterms:modified xsi:type="dcterms:W3CDTF">2026-02-20T11:54:20Z</dcterms:modified>
  <cp:category/>
  <cp:contentStatus/>
</cp:coreProperties>
</file>